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9Zo4ylDM6iyVaMwSI0L9PkpvQyNOAAav844zCAE5VQ0/jrwRpydnApc6fm8x0viOHxl1USEsQgskRPqRqI0djQ==" workbookSaltValue="rRhoOej3A2hdiKbC/SuHC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4" i="17" s="1"/>
  <c r="Z11" i="17"/>
  <c r="Z12" i="17"/>
  <c r="Z13" i="17"/>
  <c r="Z9" i="17"/>
  <c r="Y13" i="17"/>
  <c r="AB13" i="16"/>
  <c r="Y12" i="17"/>
  <c r="AB12" i="16"/>
  <c r="Y11" i="17"/>
  <c r="AB11" i="16"/>
  <c r="F11" i="16" s="1"/>
  <c r="BL11" i="16" s="1"/>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AL16" i="11" s="1"/>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BG16" i="8" s="1"/>
  <c r="AY16" i="8"/>
  <c r="BB12" i="8"/>
  <c r="BA12" i="8"/>
  <c r="AZ12" i="8"/>
  <c r="AY12" i="8"/>
  <c r="BB11" i="8"/>
  <c r="BA11" i="8"/>
  <c r="AZ11" i="8"/>
  <c r="AY11" i="8"/>
  <c r="BB9" i="8"/>
  <c r="BE9" i="8" s="1"/>
  <c r="BA9" i="8"/>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BD12" i="13"/>
  <c r="AW20" i="21"/>
  <c r="R14" i="12"/>
  <c r="R13" i="17"/>
  <c r="BD11" i="13"/>
  <c r="BF18" i="8"/>
  <c r="AN21" i="13"/>
  <c r="D20" i="12"/>
  <c r="ER21" i="8"/>
  <c r="N19" i="11"/>
  <c r="AE14" i="21"/>
  <c r="EL21" i="8"/>
  <c r="EQ21" i="8"/>
  <c r="EN21" i="8"/>
  <c r="K20" i="11"/>
  <c r="BA14" i="16"/>
  <c r="N10" i="11"/>
  <c r="N9" i="11"/>
  <c r="D17" i="2"/>
  <c r="ES21" i="8"/>
  <c r="G20" i="12"/>
  <c r="AQ19" i="11"/>
  <c r="AK21" i="8"/>
  <c r="EP21" i="8"/>
  <c r="ER21" i="13"/>
  <c r="AL14" i="16"/>
  <c r="EP21" i="19"/>
  <c r="S14" i="16"/>
  <c r="P14" i="16"/>
  <c r="F18" i="17"/>
  <c r="AQ18" i="17" s="1"/>
  <c r="K20" i="2"/>
  <c r="M14" i="2"/>
  <c r="N14" i="2"/>
  <c r="F14" i="7"/>
  <c r="T14" i="12"/>
  <c r="T14" i="16"/>
  <c r="AY20" i="8"/>
  <c r="BF16" i="8"/>
  <c r="AY14" i="8"/>
  <c r="BD9" i="8"/>
  <c r="AH14" i="16"/>
  <c r="T14" i="20"/>
  <c r="T20" i="17"/>
  <c r="BF16" i="13"/>
  <c r="BG16" i="13"/>
  <c r="BB20" i="13"/>
  <c r="BE17" i="13"/>
  <c r="BE16" i="13"/>
  <c r="BF17" i="13"/>
  <c r="Y22" i="20"/>
  <c r="U12" i="11"/>
  <c r="AQ22" i="20"/>
  <c r="W22" i="20"/>
  <c r="U10" i="11"/>
  <c r="W22" i="21"/>
  <c r="AF22" i="20"/>
  <c r="U18" i="11"/>
  <c r="AL22" i="20"/>
  <c r="AE22" i="20"/>
  <c r="AG22" i="20"/>
  <c r="L22" i="20"/>
  <c r="M22" i="20"/>
  <c r="N22" i="20"/>
  <c r="K22" i="20"/>
  <c r="AC22" i="20"/>
  <c r="AA22" i="20"/>
  <c r="AQ22" i="21"/>
  <c r="U17" i="11"/>
  <c r="G14" i="14"/>
  <c r="AE21" i="8" l="1"/>
  <c r="K16" i="7"/>
  <c r="E14" i="17"/>
  <c r="BG10" i="8"/>
  <c r="R21" i="8"/>
  <c r="F13" i="2"/>
  <c r="H12" i="2"/>
  <c r="B19" i="6"/>
  <c r="M20" i="2"/>
  <c r="N20" i="2"/>
  <c r="R8" i="9"/>
  <c r="V18" i="16" s="1"/>
  <c r="V12" i="21"/>
  <c r="BF10" i="11"/>
  <c r="AP17" i="20"/>
  <c r="BH9" i="16"/>
  <c r="BG10" i="11"/>
  <c r="BH16" i="16"/>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P16" i="17"/>
  <c r="BF12" i="11"/>
  <c r="BL16" i="11"/>
  <c r="BL10" i="11"/>
  <c r="BJ10" i="11"/>
  <c r="BK17" i="11"/>
  <c r="BH11" i="11"/>
  <c r="BG17" i="11"/>
  <c r="S18" i="17"/>
  <c r="BM9" i="11"/>
  <c r="BH12" i="16"/>
  <c r="BK10" i="11"/>
  <c r="S16" i="17"/>
  <c r="L12" i="2"/>
  <c r="X19" i="16"/>
  <c r="L18" i="2"/>
  <c r="L19" i="2"/>
  <c r="U9" i="17"/>
  <c r="U21" i="17" s="1"/>
  <c r="L9" i="2"/>
  <c r="V9" i="16"/>
  <c r="BL19" i="11"/>
  <c r="BL9" i="11"/>
  <c r="BK13" i="11"/>
  <c r="BH18" i="16"/>
  <c r="BM17" i="11"/>
  <c r="Q18" i="20"/>
  <c r="Q20" i="20" s="1"/>
  <c r="V11" i="16"/>
  <c r="S13" i="17"/>
  <c r="S12" i="14"/>
  <c r="V12" i="14" s="1"/>
  <c r="S19" i="14"/>
  <c r="V19" i="14" s="1"/>
  <c r="S17" i="14"/>
  <c r="V17" i="14"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K9" i="7" s="1"/>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I10" i="7" s="1"/>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AV14" i="17"/>
  <c r="O12" i="11"/>
  <c r="O22" i="20"/>
  <c r="Z22" i="20"/>
  <c r="AB22" i="20"/>
  <c r="AJ22" i="20"/>
  <c r="F22" i="20"/>
  <c r="AV22" i="20"/>
  <c r="O17" i="11"/>
  <c r="E22" i="20"/>
  <c r="AK22" i="20"/>
  <c r="R22" i="20"/>
  <c r="AH22" i="20"/>
  <c r="AU22" i="20"/>
  <c r="O10" i="11"/>
  <c r="X22" i="20"/>
  <c r="AN22" i="20"/>
  <c r="T22" i="20"/>
  <c r="AD22" i="20"/>
  <c r="AP22" i="20"/>
  <c r="AI22" i="20"/>
  <c r="Q22" i="20"/>
  <c r="T22" i="21"/>
  <c r="AZ22" i="20"/>
  <c r="O18" i="11"/>
  <c r="AX22" i="20"/>
  <c r="H22" i="20"/>
  <c r="G20" i="14"/>
  <c r="AM22" i="20"/>
  <c r="I12" i="12" l="1"/>
  <c r="K17" i="12"/>
  <c r="X12" i="21"/>
  <c r="AZ19" i="11"/>
  <c r="K17" i="7"/>
  <c r="BH19" i="11"/>
  <c r="BF18" i="11"/>
  <c r="BK9" i="11"/>
  <c r="BK14" i="11" s="1"/>
  <c r="BK16" i="11"/>
  <c r="AP10" i="21"/>
  <c r="V13" i="11"/>
  <c r="BI16" i="11"/>
  <c r="BM13" i="11"/>
  <c r="AP16" i="20"/>
  <c r="BL11" i="11"/>
  <c r="BL13" i="11"/>
  <c r="BM16" i="11"/>
  <c r="T16" i="16"/>
  <c r="BV19" i="16"/>
  <c r="BV13" i="16"/>
  <c r="BV17" i="16"/>
  <c r="BV16" i="16"/>
  <c r="BW11" i="20"/>
  <c r="BV10" i="16"/>
  <c r="V12" i="16"/>
  <c r="BV9" i="16"/>
  <c r="AA16" i="16"/>
  <c r="T17" i="11"/>
  <c r="Q18" i="17"/>
  <c r="BI9" i="11"/>
  <c r="S10" i="17"/>
  <c r="Q16" i="17"/>
  <c r="BF16" i="11"/>
  <c r="AQ12" i="21"/>
  <c r="BL17" i="11"/>
  <c r="S17" i="17"/>
  <c r="L13" i="2"/>
  <c r="X16" i="16"/>
  <c r="X20" i="16" s="1"/>
  <c r="S9" i="17"/>
  <c r="S9" i="14"/>
  <c r="V9" i="14" s="1"/>
  <c r="BG16" i="11"/>
  <c r="BG19" i="11"/>
  <c r="T18" i="16"/>
  <c r="BU16" i="17"/>
  <c r="BW9" i="20"/>
  <c r="BW17" i="20"/>
  <c r="U10" i="17"/>
  <c r="BU18" i="17"/>
  <c r="S11" i="14"/>
  <c r="V11" i="14" s="1"/>
  <c r="BH10" i="11"/>
  <c r="AQ10" i="21"/>
  <c r="BM18" i="11"/>
  <c r="BH17" i="11"/>
  <c r="BJ17" i="11"/>
  <c r="L17" i="2"/>
  <c r="X10" i="21"/>
  <c r="X13" i="16"/>
  <c r="BK19" i="11"/>
  <c r="BM12" i="11"/>
  <c r="BI19" i="11"/>
  <c r="BJ12" i="11"/>
  <c r="AQ14" i="21"/>
  <c r="BW13" i="20"/>
  <c r="U13" i="17"/>
  <c r="BU17" i="17"/>
  <c r="BG12" i="11"/>
  <c r="BH10" i="16"/>
  <c r="V10" i="16"/>
  <c r="I12" i="7"/>
  <c r="C14" i="6"/>
  <c r="AB21" i="21"/>
  <c r="H21" i="21"/>
  <c r="K19" i="12"/>
  <c r="I11" i="12"/>
  <c r="AV14" i="16"/>
  <c r="BG14" i="13"/>
  <c r="AK21" i="13"/>
  <c r="BC21" i="13"/>
  <c r="BD14" i="13"/>
  <c r="BM21" i="13"/>
  <c r="AD21" i="13"/>
  <c r="AI21" i="13"/>
  <c r="L21" i="13"/>
  <c r="N21" i="13"/>
  <c r="BD10" i="13"/>
  <c r="K16" i="12"/>
  <c r="K10" i="12"/>
  <c r="Q13" i="11"/>
  <c r="I9" i="12"/>
  <c r="BJ20" i="11"/>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AO22" i="20"/>
  <c r="H22" i="17"/>
  <c r="J22" i="20"/>
  <c r="S22" i="20"/>
  <c r="AW22" i="11"/>
  <c r="AV22" i="21"/>
  <c r="P22" i="20"/>
  <c r="I22" i="20"/>
  <c r="Q20" i="17" l="1"/>
  <c r="Q21" i="17" s="1"/>
  <c r="D21" i="14"/>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N22" i="21"/>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AK22" i="21"/>
  <c r="AB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F23" i="16"/>
  <c r="E21" i="6"/>
  <c r="C21" i="6"/>
  <c r="AO21" i="11"/>
  <c r="AM21" i="11"/>
  <c r="B21" i="6"/>
  <c r="AL21" i="11"/>
  <c r="BL20" i="16"/>
  <c r="F21" i="16"/>
  <c r="E23" i="21"/>
  <c r="E21" i="21"/>
  <c r="AW23" i="20"/>
  <c r="AS23" i="20"/>
  <c r="AR23" i="20" s="1"/>
  <c r="AV23" i="11"/>
  <c r="C21" i="14"/>
  <c r="BF21" i="8"/>
  <c r="AQ21" i="17"/>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<sst xmlns="http://schemas.openxmlformats.org/spreadsheetml/2006/main" count="2229" uniqueCount="979">
  <si>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</si>
  <si>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</si>
  <si>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</si>
  <si>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</si>
  <si>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</si>
  <si>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</si>
  <si>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</si>
  <si>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</si>
  <si>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</si>
  <si>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</si>
  <si>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</si>
  <si>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</si>
  <si>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</si>
  <si>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</si>
  <si>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</si>
  <si>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</si>
  <si>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</si>
  <si>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</si>
  <si>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</si>
  <si>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</si>
  <si>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</si>
  <si>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</si>
  <si>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</si>
  <si>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</si>
  <si>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</si>
  <si>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</si>
  <si>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</si>
  <si>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</si>
  <si>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</si>
  <si>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</si>
  <si>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</si>
  <si>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</si>
  <si>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</si>
  <si>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</si>
  <si>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</si>
  <si>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</si>
  <si>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</si>
  <si>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</si>
  <si>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</si>
  <si>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</si>
  <si>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</si>
  <si>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</si>
  <si>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</si>
  <si>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</si>
  <si>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</si>
  <si>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</si>
  <si>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</si>
  <si>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</si>
  <si>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</si>
  <si>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</si>
  <si>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</si>
  <si>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</si>
  <si>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</si>
  <si>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</si>
  <si>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</si>
  <si>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</si>
  <si>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</si>
  <si>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</si>
  <si>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</si>
  <si>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</si>
  <si>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</si>
  <si>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</si>
  <si>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</si>
  <si>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</si>
  <si>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</si>
  <si>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</si>
  <si>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</si>
  <si>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</si>
  <si>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</si>
  <si>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</si>
  <si>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</si>
  <si>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</si>
  <si>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</si>
  <si>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</si>
  <si>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</si>
  <si>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</si>
  <si>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</si>
  <si>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</si>
  <si>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</si>
  <si>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</si>
  <si>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</si>
  <si>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</si>
  <si>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</si>
  <si>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</si>
  <si>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</si>
  <si>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</si>
  <si>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</si>
  <si>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</si>
  <si>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</si>
  <si>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</si>
  <si>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</si>
  <si>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</si>
  <si>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</si>
  <si>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</si>
  <si>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</si>
  <si>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</si>
  <si>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</si>
  <si>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</si>
  <si>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</si>
  <si>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</si>
  <si>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</si>
  <si>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</si>
  <si>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</si>
  <si>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</si>
  <si>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</si>
  <si>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</si>
  <si>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</si>
  <si>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</si>
  <si>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</si>
  <si>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</si>
  <si>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</si>
  <si>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</si>
  <si>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</si>
  <si>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</si>
  <si>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</si>
  <si>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</si>
  <si>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</si>
  <si>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</si>
  <si>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</si>
  <si>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</si>
  <si>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</si>
  <si>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</si>
  <si>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</si>
  <si>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</si>
  <si>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</si>
  <si>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</si>
  <si>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</si>
  <si>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</si>
  <si>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</si>
  <si>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</si>
  <si>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</si>
  <si>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</si>
  <si>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</si>
  <si>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</si>
  <si>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</si>
  <si>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</si>
  <si>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</si>
  <si>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</si>
  <si>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</si>
  <si>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</si>
  <si>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</si>
  <si>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</si>
  <si>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</si>
  <si>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</si>
  <si>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</si>
  <si>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</si>
  <si>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</si>
  <si>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</si>
  <si>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</si>
  <si>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</si>
  <si>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</si>
  <si>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</si>
  <si>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</si>
  <si>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</si>
  <si>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</si>
  <si>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</si>
  <si>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</si>
  <si>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</si>
  <si>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</si>
  <si>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</si>
  <si>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</si>
  <si>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</si>
  <si>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</si>
  <si>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</si>
  <si>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</si>
  <si>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</si>
  <si>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</si>
  <si>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</si>
  <si>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</si>
  <si>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</si>
  <si>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</si>
  <si>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</si>
  <si>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</si>
  <si>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</si>
  <si>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</si>
  <si>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</si>
  <si>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</si>
  <si>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</si>
  <si>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</si>
  <si>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</si>
  <si>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</si>
  <si>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</si>
  <si>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</si>
  <si>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</si>
  <si>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</si>
  <si>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</si>
  <si>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</si>
  <si>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</si>
  <si>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</si>
  <si>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</si>
  <si>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</si>
  <si>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</si>
  <si>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</si>
  <si>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</si>
  <si>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</si>
  <si>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</si>
  <si>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</si>
  <si>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</si>
  <si>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</si>
  <si>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</si>
  <si>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</si>
  <si>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</si>
  <si>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</si>
  <si>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</si>
  <si>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</si>
  <si>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</si>
  <si>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</si>
  <si>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</si>
  <si>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</si>
  <si>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</si>
  <si>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</si>
  <si>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</si>
  <si>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</si>
  <si>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</si>
  <si>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</si>
  <si>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</si>
  <si>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</si>
  <si>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</si>
  <si>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</si>
  <si>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</si>
  <si>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</si>
  <si>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</si>
  <si>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</si>
  <si>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</si>
  <si>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</si>
  <si>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</si>
  <si>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</si>
  <si>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</si>
  <si>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</si>
  <si>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</si>
  <si>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</si>
  <si>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</si>
  <si>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</si>
  <si>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</si>
  <si>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</si>
  <si>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</si>
  <si>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</si>
  <si>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</si>
  <si>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</si>
  <si>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</si>
  <si>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</si>
  <si>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</si>
  <si>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</si>
  <si>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</si>
  <si>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</si>
  <si>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</si>
  <si>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</si>
  <si>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</si>
  <si>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</si>
  <si>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</si>
  <si>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</si>
  <si>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</si>
  <si>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</si>
  <si>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</si>
  <si>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</si>
  <si>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</si>
  <si>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</si>
  <si>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</si>
  <si>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</si>
  <si>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</si>
  <si>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</si>
  <si>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</si>
  <si>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</si>
  <si>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</si>
  <si>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</si>
  <si>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</si>
  <si>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</si>
  <si>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</si>
  <si>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</si>
  <si>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</si>
  <si>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</si>
  <si>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</si>
  <si>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</si>
  <si>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</si>
  <si>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</si>
  <si>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</si>
  <si>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</si>
  <si>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</si>
  <si>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</si>
  <si>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</si>
  <si>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</si>
  <si>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</si>
  <si>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</si>
  <si>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</si>
  <si>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</si>
  <si>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</si>
  <si>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</si>
  <si>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</si>
  <si>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</si>
  <si>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</si>
  <si>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</si>
  <si>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</si>
  <si>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</si>
  <si>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</si>
  <si>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</si>
  <si>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</si>
  <si>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</si>
  <si>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</si>
  <si>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</si>
  <si>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</si>
  <si>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</si>
  <si>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</si>
  <si>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</si>
  <si>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</si>
  <si>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</si>
  <si>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</si>
  <si>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</si>
  <si>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</si>
  <si>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</si>
  <si>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</si>
  <si>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</si>
  <si>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</si>
  <si>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</si>
  <si>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</si>
  <si>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</si>
  <si>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</si>
  <si>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</si>
  <si>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</si>
  <si>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</si>
  <si>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</si>
  <si>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</si>
  <si>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</si>
  <si>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</si>
  <si>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</si>
  <si>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</si>
  <si>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</si>
  <si>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</si>
  <si>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</si>
  <si>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</si>
  <si>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</si>
  <si>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</si>
  <si>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</si>
  <si>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</si>
  <si>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</si>
  <si>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</si>
  <si>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</si>
  <si>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</si>
  <si>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</si>
  <si>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</si>
  <si>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</si>
  <si>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</si>
  <si>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</si>
  <si>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</si>
  <si>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</si>
  <si>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</si>
  <si>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</si>
  <si>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</si>
  <si>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</si>
  <si>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</si>
  <si>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</si>
  <si>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</si>
  <si>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</si>
  <si>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</si>
  <si>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</si>
  <si>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</si>
  <si>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</si>
  <si>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</si>
  <si>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</si>
  <si>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</si>
  <si>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</si>
  <si>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</si>
  <si>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</si>
  <si>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</si>
  <si>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</si>
  <si>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</si>
  <si>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</si>
  <si>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</si>
  <si>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</si>
  <si>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</si>
  <si>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</si>
  <si>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</si>
  <si>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</si>
  <si>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</si>
  <si>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</si>
  <si>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</si>
  <si>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</si>
  <si>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</si>
  <si>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</si>
  <si>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</si>
  <si>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</si>
  <si>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</si>
  <si>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</si>
  <si>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</si>
  <si>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</si>
  <si>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</si>
  <si>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</si>
  <si>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</si>
  <si>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</si>
  <si>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</si>
  <si>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</si>
  <si>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</si>
  <si>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</si>
  <si>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</si>
  <si>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</si>
  <si>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</si>
  <si>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</si>
  <si>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</si>
  <si>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</si>
  <si>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</si>
  <si>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</si>
  <si>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</si>
  <si>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</si>
  <si>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</si>
  <si>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</si>
  <si>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</si>
  <si>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</si>
  <si>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</si>
  <si>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</si>
  <si>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</si>
  <si>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</si>
  <si>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</si>
  <si>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</si>
  <si>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</si>
  <si>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</si>
  <si>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</si>
  <si>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</si>
  <si>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</si>
  <si>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</si>
  <si>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</si>
  <si>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</si>
  <si>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</si>
  <si>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</si>
  <si>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</si>
  <si>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</si>
  <si>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</si>
  <si>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</si>
  <si>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</si>
  <si>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</si>
  <si>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</si>
  <si>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</si>
  <si>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</si>
  <si>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</si>
  <si>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</si>
  <si>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</si>
  <si>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</si>
  <si>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</si>
  <si>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</si>
  <si>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</si>
  <si>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</si>
  <si>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</si>
  <si>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</si>
  <si>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</si>
  <si>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</si>
  <si>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</si>
  <si>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</si>
  <si>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</si>
  <si>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</si>
  <si>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</si>
  <si>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</si>
  <si>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</si>
  <si>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</si>
  <si>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</si>
  <si>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</si>
  <si>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</si>
  <si>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</si>
  <si>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</si>
  <si>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</si>
  <si>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</si>
  <si>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</si>
  <si>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</si>
  <si>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</si>
  <si>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</si>
  <si>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</si>
  <si>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</si>
  <si>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</si>
  <si>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</si>
  <si>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</si>
  <si>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</si>
  <si>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</si>
  <si>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</si>
  <si>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</si>
  <si>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</si>
  <si>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</si>
  <si>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</si>
  <si>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</si>
  <si>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</si>
  <si>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</si>
  <si>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</si>
  <si>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</si>
  <si>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</si>
  <si>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</si>
  <si>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</si>
  <si>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</si>
  <si>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</si>
  <si>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</si>
  <si>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</si>
  <si>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</si>
  <si>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</si>
  <si>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</si>
  <si>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</si>
  <si>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</si>
  <si>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</si>
  <si>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</si>
  <si>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</si>
  <si>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</si>
  <si>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</si>
  <si>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</si>
  <si>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</si>
  <si>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</si>
  <si>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</si>
  <si>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</si>
  <si>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</si>
  <si>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</si>
  <si>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</si>
  <si>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</si>
  <si>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</si>
  <si>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</si>
  <si>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</si>
  <si>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</si>
  <si>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</si>
  <si>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</si>
  <si>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</si>
  <si>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</si>
  <si>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</si>
  <si>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</si>
  <si>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</si>
  <si>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</si>
  <si>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</si>
  <si>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</si>
  <si>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</si>
  <si>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</si>
  <si>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</si>
  <si>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</si>
  <si>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</si>
  <si>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</si>
  <si>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</si>
  <si>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</si>
  <si>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</si>
  <si>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</si>
  <si>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</si>
  <si>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</si>
  <si>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</si>
  <si>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</si>
  <si>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</si>
  <si>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</si>
  <si>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</si>
  <si>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</si>
  <si>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</si>
  <si>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</si>
  <si>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</si>
  <si>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</si>
  <si>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</si>
  <si>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</si>
  <si>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</si>
  <si>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</si>
  <si>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</si>
  <si>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</si>
  <si>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</si>
  <si>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</si>
  <si>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</si>
  <si>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</si>
  <si>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</si>
  <si>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</si>
  <si>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</si>
  <si>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</si>
  <si>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</si>
  <si>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</si>
  <si>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</si>
  <si>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</si>
  <si>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</si>
  <si>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</si>
  <si>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</si>
  <si>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</si>
  <si>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</si>
  <si>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</si>
  <si>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</si>
  <si>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</si>
  <si>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</si>
  <si>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</si>
  <si>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</si>
  <si>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</si>
  <si>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</si>
  <si>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</si>
  <si>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</si>
  <si>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</si>
  <si>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</si>
  <si>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</si>
  <si>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</si>
  <si>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</si>
  <si>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</si>
  <si>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</si>
  <si>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</si>
  <si>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</si>
  <si>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</si>
  <si>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</si>
  <si>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</si>
  <si>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</si>
  <si>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</si>
  <si>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</si>
  <si>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</si>
  <si>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</si>
  <si>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</si>
  <si>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</si>
  <si>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</si>
  <si>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</si>
  <si>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</si>
  <si>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</si>
  <si>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</si>
  <si>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</si>
  <si>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</si>
  <si>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</si>
  <si>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</si>
  <si>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</si>
  <si>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</si>
  <si>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</si>
  <si>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</si>
  <si>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</si>
  <si>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</si>
  <si>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</si>
  <si>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</si>
  <si>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</si>
  <si>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</si>
  <si>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</si>
  <si>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</si>
  <si>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</si>
  <si>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</si>
  <si>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</si>
  <si>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</si>
  <si>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</si>
  <si>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</si>
  <si>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</si>
  <si>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</si>
  <si>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</si>
  <si>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</si>
  <si>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</si>
  <si>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</si>
  <si>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</si>
  <si>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</si>
  <si>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</si>
  <si>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</si>
  <si>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</si>
  <si>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</si>
  <si>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</si>
  <si>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</si>
  <si>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</si>
  <si>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</si>
  <si>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</si>
  <si>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</si>
  <si>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</si>
  <si>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</si>
  <si>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</si>
  <si>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</si>
  <si>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</si>
  <si>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</si>
  <si>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</si>
  <si>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</si>
  <si>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</si>
  <si>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</si>
  <si>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</si>
  <si>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</si>
  <si>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</si>
  <si>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</si>
  <si>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</si>
  <si>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</si>
  <si>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</si>
  <si>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</si>
  <si>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</si>
  <si>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</si>
  <si>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</si>
  <si>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</si>
  <si>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</si>
  <si>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</si>
  <si>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</si>
  <si>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</si>
  <si>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</si>
  <si>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</si>
  <si>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</si>
  <si>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</si>
  <si>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</si>
  <si>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</si>
  <si>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</si>
  <si>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</si>
  <si>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</si>
  <si>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</si>
  <si>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</si>
  <si>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</si>
  <si>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</si>
  <si>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</si>
  <si>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</si>
  <si>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</si>
  <si>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</si>
  <si>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</si>
  <si>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</si>
  <si>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</si>
  <si>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</si>
  <si>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</si>
  <si>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</si>
  <si>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</si>
  <si>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</si>
  <si>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</si>
  <si>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</si>
  <si>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</si>
  <si>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</si>
  <si>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</si>
  <si>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</si>
  <si>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</si>
  <si>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</si>
  <si>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</si>
  <si>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</si>
  <si>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</si>
  <si>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</si>
  <si>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</si>
  <si>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</si>
  <si>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</si>
  <si>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</si>
  <si>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</si>
  <si>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</si>
  <si>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</si>
  <si>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</si>
  <si>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</si>
  <si>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</si>
  <si>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</si>
  <si>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</si>
  <si>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</si>
  <si>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</si>
  <si>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</si>
  <si>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</si>
  <si>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</si>
  <si>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</si>
  <si>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</si>
  <si>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</si>
  <si>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</si>
  <si>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</si>
  <si>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</si>
  <si>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</si>
  <si>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</si>
  <si>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</si>
  <si>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</si>
  <si>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</si>
  <si>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</si>
  <si>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</si>
  <si>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</si>
  <si>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</si>
  <si>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</si>
  <si>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</si>
  <si>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</si>
  <si>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</si>
  <si>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</si>
  <si>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</si>
  <si>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</si>
  <si>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</si>
  <si>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</si>
  <si>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</si>
  <si>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</si>
  <si>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</si>
  <si>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</si>
  <si>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</si>
  <si>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</si>
  <si>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</si>
  <si>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</si>
  <si>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</si>
  <si>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</si>
  <si>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</si>
  <si>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</si>
  <si>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</si>
  <si>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</si>
  <si>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</si>
  <si>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</si>
  <si>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</si>
  <si>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</si>
  <si>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</si>
  <si>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</si>
  <si>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</si>
  <si>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</si>
  <si>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</si>
  <si>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</si>
  <si>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</si>
  <si>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</si>
  <si>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</si>
  <si>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</si>
  <si>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</si>
  <si>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</si>
  <si>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</si>
  <si>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</si>
  <si>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</si>
  <si>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</si>
  <si>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</si>
  <si>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</si>
  <si>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</si>
  <si>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</si>
  <si>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</si>
  <si>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</si>
  <si>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</si>
  <si>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</si>
  <si>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</si>
  <si>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</si>
  <si>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</si>
  <si>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</si>
  <si>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</si>
  <si>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</si>
  <si>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</si>
  <si>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</si>
  <si>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</si>
  <si>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</si>
  <si>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</si>
  <si>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</si>
  <si>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</si>
  <si>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</si>
  <si>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</si>
  <si>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</si>
  <si>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</si>
  <si>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</si>
  <si>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</si>
  <si>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</si>
  <si>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</si>
  <si>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</si>
  <si>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</si>
  <si>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</si>
  <si>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</si>
  <si>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</si>
  <si>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</si>
  <si>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</si>
  <si>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</si>
  <si>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</si>
  <si>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</si>
  <si>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</si>
  <si>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</si>
  <si>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</si>
  <si>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</si>
  <si>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</si>
  <si>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</si>
  <si>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</si>
  <si>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</si>
  <si>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</si>
  <si>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</si>
  <si>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</si>
  <si>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</si>
  <si>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</si>
  <si>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</si>
  <si>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</si>
  <si>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</si>
  <si>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</si>
  <si>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</si>
  <si>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</si>
  <si>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</si>
  <si>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</si>
  <si>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</si>
  <si>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</si>
  <si>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</si>
  <si>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</si>
  <si>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</si>
  <si>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</si>
  <si>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</si>
  <si>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</si>
  <si>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</si>
  <si>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</si>
  <si>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</si>
  <si>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</si>
  <si>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</si>
  <si>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</si>
  <si>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</si>
  <si>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</si>
  <si>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</si>
  <si>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</si>
  <si>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</si>
  <si>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</si>
  <si>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</si>
  <si>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</si>
  <si>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</si>
  <si>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</si>
  <si>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</si>
  <si>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</si>
  <si>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</si>
  <si>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</si>
  <si>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</si>
  <si>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</si>
  <si>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</si>
  <si>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</si>
  <si>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</si>
  <si>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</si>
  <si>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</si>
  <si>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</si>
  <si>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</si>
  <si>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</si>
  <si>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</si>
  <si>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</si>
  <si>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</si>
  <si>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</si>
  <si>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</si>
  <si>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</si>
  <si>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</si>
  <si>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</si>
  <si>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</si>
  <si>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</si>
  <si>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</si>
  <si>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</si>
  <si>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</si>
  <si>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</si>
  <si>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</si>
  <si>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</si>
  <si>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</si>
  <si>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</si>
  <si>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</si>
  <si>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</si>
  <si>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</si>
  <si>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</si>
  <si>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</si>
  <si>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</si>
  <si>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</si>
  <si>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</si>
  <si>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</si>
  <si>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</si>
  <si>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</si>
  <si>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</si>
  <si>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</si>
  <si>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</si>
  <si>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</si>
  <si>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</si>
  <si>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</si>
  <si>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</si>
  <si>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</si>
  <si>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</si>
  <si>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</si>
  <si>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</si>
  <si>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</si>
  <si>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</si>
  <si>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</si>
  <si>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</si>
  <si>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</si>
  <si>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</si>
  <si>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</si>
  <si>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</si>
  <si>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</si>
  <si>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</si>
  <si>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</si>
  <si>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</si>
  <si>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</si>
  <si>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</si>
  <si>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</si>
  <si>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</si>
  <si>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</si>
  <si>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</si>
  <si>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</si>
  <si>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</si>
  <si>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</si>
  <si>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</si>
  <si>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</si>
  <si>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</si>
  <si>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</si>
  <si>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</si>
  <si>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</si>
  <si>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</si>
  <si>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</si>
  <si>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</si>
  <si>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</si>
  <si>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</si>
  <si>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</si>
  <si>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</si>
  <si>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</si>
  <si>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</si>
  <si>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</si>
  <si>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</si>
  <si>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</si>
  <si>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</si>
  <si>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</si>
  <si>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</si>
  <si>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</si>
  <si>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</si>
  <si>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</si>
  <si>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</si>
  <si>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</si>
  <si>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</si>
  <si>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</si>
  <si>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</si>
  <si>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</si>
  <si>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</si>
  <si>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</si>
  <si>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</si>
  <si>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</si>
  <si>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</si>
  <si>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</si>
  <si>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</si>
  <si>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</si>
  <si>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</si>
  <si>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</si>
  <si>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</si>
  <si>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</si>
  <si>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</si>
  <si>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L'HOSPITALET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</si>
</sst>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4RnGU4IX57Ov3kP6m5IMzayYOXRPmagZpbP0KY6NDo2wNcQaUIickF1m5hW5iwtjdZ+SXcXvxfPMSX9OjcqUwg==" saltValue="0A+OEESy+eL+0mDUNslt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L'HOSPITALET DE LLOBREGAT</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8</v>
      </c>
      <c r="C9" s="415">
        <f>IF(ISNUMBER(IF(J_V="SI",Datos!I9,Datos!I9+Datos!Y9)),IF(J_V="SI",Datos!I9,Datos!I9+Datos!Y9)," - ")</f>
        <v>14571</v>
      </c>
      <c r="D9" s="416">
        <f>IF(ISNUMBER(C9/Datos!BH9),C9/Datos!BH9," - ")</f>
        <v>1821.375</v>
      </c>
      <c r="E9" s="415">
        <f>IF(ISNUMBER(IF(J_V="SI",Datos!J9,Datos!J9+Datos!Z9)),IF(J_V="SI",Datos!J9,Datos!J9+Datos!Z9)," - ")</f>
        <v>4349</v>
      </c>
      <c r="F9" s="416">
        <f>IF(ISNUMBER(E9/B9),E9/B9," - ")</f>
        <v>543.625</v>
      </c>
      <c r="G9" s="415">
        <f>IF(ISNUMBER(IF(J_V="SI",Datos!K9,Datos!K9+Datos!AA9)),IF(J_V="SI",Datos!K9,Datos!K9+Datos!AA9)," - ")</f>
        <v>4315</v>
      </c>
      <c r="H9" s="416">
        <f>IF(ISNUMBER(G9/B9),G9/B9," - ")</f>
        <v>539.375</v>
      </c>
      <c r="I9" s="415">
        <f>IF(ISNUMBER(IF(J_V="SI",Datos!L9,Datos!L9+Datos!AB9)),IF(J_V="SI",Datos!L9,Datos!L9+Datos!AB9)," - ")</f>
        <v>14605</v>
      </c>
      <c r="J9" s="416">
        <f>IF(ISNUMBER(I9/B9),I9/B9," - ")</f>
        <v>1825.625</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192</v>
      </c>
      <c r="D10" s="416">
        <f>IF(ISNUMBER(C10/Datos!BH10),C10/Datos!BH10," - ")</f>
        <v>192</v>
      </c>
      <c r="E10" s="415">
        <f>IF(ISNUMBER(Datos!J10),Datos!J10," - ")</f>
        <v>59</v>
      </c>
      <c r="F10" s="416">
        <f>IF(ISNUMBER(E10/B10),E10/B10," - ")</f>
        <v>59</v>
      </c>
      <c r="G10" s="415">
        <f>IF(ISNUMBER(Datos!K10),Datos!K10," - ")</f>
        <v>51</v>
      </c>
      <c r="H10" s="416">
        <f>IF(ISNUMBER(G10/B10),G10/B10," - ")</f>
        <v>51</v>
      </c>
      <c r="I10" s="415">
        <f>IF(ISNUMBER(Datos!L10),Datos!L10," - ")</f>
        <v>200</v>
      </c>
      <c r="J10" s="416">
        <f>IF(ISNUMBER(I10/B10),I10/B10," - ")</f>
        <v>200</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0</v>
      </c>
      <c r="C12" s="415" t="str">
        <f>IF(ISNUMBER(IF(J_V="SI",Datos!I12,Datos!I12+Datos!Y12)),IF(J_V="SI",Datos!I12,Datos!I12+Datos!Y12)," - ")</f>
        <v xml:space="preserve"> - </v>
      </c>
      <c r="D12" s="416" t="str">
        <f>IF(ISNUMBER(C12/Datos!BH12),C12/Datos!BH12," - ")</f>
        <v xml:space="preserve"> - </v>
      </c>
      <c r="E12" s="415" t="str">
        <f>IF(ISNUMBER(IF(J_V="SI",Datos!J12,Datos!J12+Datos!Z12)),IF(J_V="SI",Datos!J12,Datos!J12+Datos!Z12)," - ")</f>
        <v xml:space="preserve"> - </v>
      </c>
      <c r="F12" s="416" t="str">
        <f>IF(ISNUMBER(E12/B12),E12/B12," - ")</f>
        <v xml:space="preserve"> - </v>
      </c>
      <c r="G12" s="415" t="str">
        <f>IF(ISNUMBER(IF(J_V="SI",Datos!K12,Datos!K12+Datos!AA12)),IF(J_V="SI",Datos!K12,Datos!K12+Datos!AA12)," - ")</f>
        <v xml:space="preserve"> - </v>
      </c>
      <c r="H12" s="416" t="str">
        <f>IF(ISNUMBER(G12/B12),G12/B12," - ")</f>
        <v xml:space="preserve"> - </v>
      </c>
      <c r="I12" s="415" t="str">
        <f>IF(ISNUMBER(IF(J_V="SI",Datos!L12,Datos!L12+Datos!AB12)),IF(J_V="SI",Datos!L12,Datos!L12+Datos!AB12)," - ")</f>
        <v xml:space="preserve"> - </v>
      </c>
      <c r="J12" s="416" t="str">
        <f>IF(ISNUMBER(I12/B12),I12/B12," - ")</f>
        <v xml:space="preserve"> - </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9</v>
      </c>
      <c r="C14" s="996">
        <f>SUBTOTAL(9,C8:C13)</f>
        <v>14763</v>
      </c>
      <c r="D14" s="997" t="str">
        <f>IF(ISNUMBER(C14/Datos!BI14),C14/Datos!BI14," - ")</f>
        <v xml:space="preserve"> - </v>
      </c>
      <c r="E14" s="996">
        <f>SUBTOTAL(9,E8:E13)</f>
        <v>4408</v>
      </c>
      <c r="F14" s="997">
        <f>IF(ISNUMBER(E14/B14),E14/B14," - ")</f>
        <v>489.77777777777777</v>
      </c>
      <c r="G14" s="996">
        <f>SUBTOTAL(9,G8:G13)</f>
        <v>4366</v>
      </c>
      <c r="H14" s="997">
        <f>IF(ISNUMBER(G14/B14),G14/B14," - ")</f>
        <v>485.11111111111109</v>
      </c>
      <c r="I14" s="996">
        <f>SUBTOTAL(9,I8:I13)</f>
        <v>14805</v>
      </c>
      <c r="J14" s="997">
        <f>IF(ISNUMBER(I14/B14),I14/B14," - ")</f>
        <v>1645</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5</v>
      </c>
      <c r="C16" s="415">
        <f>IF(ISNUMBER(IF(D_I="SI",Datos!I16,Datos!I16+Datos!AC16)),IF(D_I="SI",Datos!I16,Datos!I16+Datos!AC16)," - ")</f>
        <v>3444</v>
      </c>
      <c r="D16" s="416">
        <f>IF(ISNUMBER(C16/Datos!BH16),C16/Datos!BH16," - ")</f>
        <v>688.8</v>
      </c>
      <c r="E16" s="415">
        <f>IF(ISNUMBER(IF(D_I="SI",Datos!J16,Datos!J16+Datos!AD16)),IF(D_I="SI",Datos!J16,Datos!J16+Datos!AD16)," - ")</f>
        <v>6052</v>
      </c>
      <c r="F16" s="416">
        <f>IF(ISNUMBER(E16/B16),E16/B16," - ")</f>
        <v>1210.4000000000001</v>
      </c>
      <c r="G16" s="415">
        <f>IF(ISNUMBER(IF(D_I="SI",Datos!K16,Datos!K16+Datos!AE16)),IF(D_I="SI",Datos!K16,Datos!K16+Datos!AE16)," - ")</f>
        <v>5934</v>
      </c>
      <c r="H16" s="416">
        <f>IF(ISNUMBER(G16/B16),G16/B16," - ")</f>
        <v>1186.8</v>
      </c>
      <c r="I16" s="415">
        <f>IF(ISNUMBER(IF(D_I="SI",Datos!L16,Datos!L16+Datos!AF16)),IF(D_I="SI",Datos!L16,Datos!L16+Datos!AF16)," - ")</f>
        <v>3583</v>
      </c>
      <c r="J16" s="416">
        <f>IF(ISNUMBER(I16/B16),I16/B16," - ")</f>
        <v>716.6</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0</v>
      </c>
      <c r="C17" s="415" t="str">
        <f>IF(ISNUMBER(IF(D_I="SI",Datos!I17,Datos!I17+Datos!AC17)),IF(D_I="SI",Datos!I17,Datos!I17+Datos!AC17)," - ")</f>
        <v xml:space="preserve"> - </v>
      </c>
      <c r="D17" s="416" t="str">
        <f>IF(ISNUMBER(C17/Datos!BH17),C17/Datos!BH17," - ")</f>
        <v xml:space="preserve"> - </v>
      </c>
      <c r="E17" s="415" t="str">
        <f>IF(ISNUMBER(IF(D_I="SI",Datos!J17,Datos!J17+Datos!AD17)),IF(D_I="SI",Datos!J17,Datos!J17+Datos!AD17)," - ")</f>
        <v xml:space="preserve"> - </v>
      </c>
      <c r="F17" s="416" t="str">
        <f>IF(ISNUMBER(E17/B17),E17/B17," - ")</f>
        <v xml:space="preserve"> - </v>
      </c>
      <c r="G17" s="415" t="str">
        <f>IF(ISNUMBER(IF(D_I="SI",Datos!K17,Datos!K17+Datos!AE17)),IF(D_I="SI",Datos!K17,Datos!K17+Datos!AE17)," - ")</f>
        <v xml:space="preserve"> - </v>
      </c>
      <c r="H17" s="416" t="str">
        <f>IF(ISNUMBER(G17/B17),G17/B17," - ")</f>
        <v xml:space="preserve"> - </v>
      </c>
      <c r="I17" s="415" t="str">
        <f>IF(ISNUMBER(IF(D_I="SI",Datos!L17,Datos!L17+Datos!AF17)),IF(D_I="SI",Datos!L17,Datos!L17+Datos!AF17)," - ")</f>
        <v xml:space="preserve"> - </v>
      </c>
      <c r="J17" s="416" t="str">
        <f>IF(ISNUMBER(I17/B17),I17/B17," - ")</f>
        <v xml:space="preserve"> - </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598</v>
      </c>
      <c r="D18" s="416">
        <f>IF(ISNUMBER(C18/Datos!BH18),C18/Datos!BH18," - ")</f>
        <v>598</v>
      </c>
      <c r="E18" s="415">
        <f>IF(ISNUMBER(IF(D_I="SI",Datos!J18,Datos!J18+Datos!AD18)),IF(D_I="SI",Datos!J18,Datos!J18+Datos!AD18)," - ")</f>
        <v>465</v>
      </c>
      <c r="F18" s="416">
        <f>IF(ISNUMBER(E18/B18),E18/B18," - ")</f>
        <v>465</v>
      </c>
      <c r="G18" s="415">
        <f>IF(ISNUMBER(IF(D_I="SI",Datos!K18,Datos!K18+Datos!AE18)),IF(D_I="SI",Datos!K18,Datos!K18+Datos!AE18)," - ")</f>
        <v>511</v>
      </c>
      <c r="H18" s="416">
        <f>IF(ISNUMBER(G18/B18),G18/B18," - ")</f>
        <v>511</v>
      </c>
      <c r="I18" s="415">
        <f>IF(ISNUMBER(IF(D_I="SI",Datos!L18,Datos!L18+Datos!AF18)),IF(D_I="SI",Datos!L18,Datos!L18+Datos!AF18)," - ")</f>
        <v>552</v>
      </c>
      <c r="J18" s="416">
        <f>IF(ISNUMBER(I18/B18),I18/B18," - ")</f>
        <v>552</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6</v>
      </c>
      <c r="C20" s="996">
        <f>SUBTOTAL(9,C15:C19)</f>
        <v>4042</v>
      </c>
      <c r="D20" s="997" t="str">
        <f>IF(ISNUMBER(C20/Datos!BI20),C20/Datos!BI20," - ")</f>
        <v xml:space="preserve"> - </v>
      </c>
      <c r="E20" s="996">
        <f>SUBTOTAL(9,E15:E19)</f>
        <v>6517</v>
      </c>
      <c r="F20" s="997">
        <f>IF(ISNUMBER(E20/B20),E20/B20," - ")</f>
        <v>1086.1666666666667</v>
      </c>
      <c r="G20" s="996">
        <f>SUBTOTAL(9,G15:G19)</f>
        <v>6445</v>
      </c>
      <c r="H20" s="997">
        <f>IF(ISNUMBER(G20/B20),G20/B20," - ")</f>
        <v>1074.1666666666667</v>
      </c>
      <c r="I20" s="996">
        <f>SUBTOTAL(9,I15:I19)</f>
        <v>4135</v>
      </c>
      <c r="J20" s="997">
        <f>IF(ISNUMBER(I20/B20),I20/B20," - ")</f>
        <v>689.16666666666663</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14</v>
      </c>
      <c r="C21" s="941">
        <f>SUBTOTAL(9,C9:C20)</f>
        <v>18805</v>
      </c>
      <c r="D21" s="942" t="str">
        <f>IF(ISNUMBER(C21/Datos!BI21),C21/Datos!BI21," - ")</f>
        <v xml:space="preserve"> - </v>
      </c>
      <c r="E21" s="941">
        <f>SUBTOTAL(9,E9:E20)</f>
        <v>10925</v>
      </c>
      <c r="F21" s="942">
        <f>IF(ISNUMBER(E21/B21),E21/B21," - ")</f>
        <v>780.35714285714289</v>
      </c>
      <c r="G21" s="941">
        <f>SUBTOTAL(9,G9:G20)</f>
        <v>10811</v>
      </c>
      <c r="H21" s="942">
        <f>IF(ISNUMBER(G21/B21),G21/B21," - ")</f>
        <v>772.21428571428567</v>
      </c>
      <c r="I21" s="941">
        <f>SUBTOTAL(9,I9:I20)</f>
        <v>18940</v>
      </c>
      <c r="J21" s="942">
        <f>IF(ISNUMBER(I21/B21),I21/B21," - ")</f>
        <v>1352.8571428571429</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Hp7WgGu+xIZ8zrz/jbsW88Dyw0iD9bJ4mcNLWkfu/hr/QMl7FnuNY9QUrfCbni1UfBVDKh+QcxsJpFju6YCJOQ==" saltValue="XwSA/61RX+K2YYFL03abxA=="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L'HOSPITALET DE LLOBREGAT</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8</v>
      </c>
      <c r="D9" s="415">
        <f>Datos!BK9</f>
        <v>0</v>
      </c>
      <c r="E9" s="415">
        <f>Datos!AQ9</f>
        <v>8</v>
      </c>
      <c r="F9" s="416">
        <f>IF(ISNUMBER(E9/Datos!BH9),E9/Datos!BH9," - ")</f>
        <v>1</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1</v>
      </c>
      <c r="D10" s="415">
        <f>Datos!BK10</f>
        <v>0</v>
      </c>
      <c r="E10" s="415">
        <f>Datos!AQ10</f>
        <v>1</v>
      </c>
      <c r="F10" s="416">
        <f>IF(ISNUMBER(E10/Datos!BH10),E10/Datos!BH10," - ")</f>
        <v>1</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0</v>
      </c>
      <c r="D12" s="415">
        <f>Datos!BK12</f>
        <v>0</v>
      </c>
      <c r="E12" s="415">
        <f>Datos!AQ12</f>
        <v>0</v>
      </c>
      <c r="F12" s="416" t="str">
        <f>IF(ISNUMBER(E12/Datos!BH12),E12/Datos!BH12," - ")</f>
        <v xml:space="preserve"> - </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5</v>
      </c>
      <c r="D16" s="415">
        <f>Datos!BK16</f>
        <v>0</v>
      </c>
      <c r="E16" s="415">
        <f>Datos!AQ16</f>
        <v>5</v>
      </c>
      <c r="F16" s="416">
        <f>IF(ISNUMBER(E16/Datos!BH16),E16/Datos!BH16," - ")</f>
        <v>1</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0</v>
      </c>
      <c r="D17" s="415">
        <f>Datos!BK17</f>
        <v>0</v>
      </c>
      <c r="E17" s="415">
        <f>Datos!AQ17</f>
        <v>0</v>
      </c>
      <c r="F17" s="416" t="str">
        <f>IF(ISNUMBER(E17/Datos!BH17),E17/Datos!BH17," - ")</f>
        <v xml:space="preserve"> - </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1</v>
      </c>
      <c r="D18" s="415">
        <f>Datos!BK18</f>
        <v>0</v>
      </c>
      <c r="E18" s="415">
        <f>Datos!AQ18</f>
        <v>1</v>
      </c>
      <c r="F18" s="416">
        <f>IF(ISNUMBER(E18/Datos!BH18),E18/Datos!BH18," - ")</f>
        <v>1</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9RK2kNRN6l/ER48Hl5iubbOdUQ1UDOX6hA9tV/oNg+JjrgUJL/inAhKTRPbACVvuu04f8XuTO1Nx9qmOPKXA3A==" saltValue="lwuoWrQ1w+xoad/sGmTbMA=="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L'HOSPITALET DE LLOBREGAT</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8</v>
      </c>
      <c r="C9" s="422">
        <f>Datos!AQ9</f>
        <v>8</v>
      </c>
      <c r="D9" s="415">
        <f>IF(ISNUMBER(Datos!M9),Datos!M9," - ")</f>
        <v>778</v>
      </c>
      <c r="E9" s="416">
        <f t="shared" ref="E9:E14" si="0">IF(ISNUMBER(D9/B9),D9/B9," - ")</f>
        <v>97.25</v>
      </c>
      <c r="F9" s="415">
        <f>IF(ISNUMBER(Datos!N9),Datos!N9," - ")</f>
        <v>2204</v>
      </c>
      <c r="G9" s="416">
        <f t="shared" ref="G9:G14" si="1">IF(ISNUMBER(F9/B9),F9/B9," - ")</f>
        <v>275.5</v>
      </c>
      <c r="H9" s="415">
        <f>IF(ISNUMBER(Datos!O9),Datos!O9," - ")</f>
        <v>1728</v>
      </c>
      <c r="I9" s="416">
        <f>IF(ISNUMBER(H9/B9),H9/B9," - ")</f>
        <v>216</v>
      </c>
    </row>
    <row r="10" spans="1:9">
      <c r="A10" s="414" t="str">
        <f>Datos!A10</f>
        <v>Jdos. Violencia contra la mujer</v>
      </c>
      <c r="B10" s="444">
        <f>Datos!AO10</f>
        <v>1</v>
      </c>
      <c r="C10" s="422">
        <f>Datos!AQ10</f>
        <v>1</v>
      </c>
      <c r="D10" s="415">
        <f>IF(ISNUMBER(Datos!M10),Datos!M10," - ")</f>
        <v>22</v>
      </c>
      <c r="E10" s="416">
        <f>IF(ISNUMBER(D10/B10),D10/B10," - ")</f>
        <v>22</v>
      </c>
      <c r="F10" s="415">
        <f>IF(ISNUMBER(Datos!N10),Datos!N10," - ")</f>
        <v>25</v>
      </c>
      <c r="G10" s="416">
        <f>IF(ISNUMBER(F10/B10),F10/B10," - ")</f>
        <v>25</v>
      </c>
      <c r="H10" s="415">
        <f>IF(ISNUMBER(Datos!O10),Datos!O10," - ")</f>
        <v>8</v>
      </c>
      <c r="I10" s="416">
        <f t="shared" ref="I10:I13" si="2">IF(ISNUMBER(H10/B10),H10/B10," - ")</f>
        <v>8</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0</v>
      </c>
      <c r="C12" s="422">
        <f>Datos!AQ12</f>
        <v>0</v>
      </c>
      <c r="D12" s="415" t="str">
        <f>IF(ISNUMBER(Datos!M12),Datos!M12," - ")</f>
        <v xml:space="preserve"> - </v>
      </c>
      <c r="E12" s="416" t="str">
        <f t="shared" si="0"/>
        <v xml:space="preserve"> - </v>
      </c>
      <c r="F12" s="415" t="str">
        <f>IF(ISNUMBER(Datos!N12),Datos!N12," - ")</f>
        <v xml:space="preserve"> - </v>
      </c>
      <c r="G12" s="416" t="str">
        <f t="shared" si="1"/>
        <v xml:space="preserve"> - </v>
      </c>
      <c r="H12" s="415" t="str">
        <f>IF(ISNUMBER(Datos!O12),Datos!O12," - ")</f>
        <v xml:space="preserve"> - </v>
      </c>
      <c r="I12" s="416" t="str">
        <f t="shared" si="2"/>
        <v xml:space="preserve"> - </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9</v>
      </c>
      <c r="C14" s="998">
        <f>Datos!AR14</f>
        <v>9</v>
      </c>
      <c r="D14" s="996">
        <f>SUBTOTAL(9,D9:D13)</f>
        <v>800</v>
      </c>
      <c r="E14" s="997">
        <f t="shared" si="0"/>
        <v>88.888888888888886</v>
      </c>
      <c r="F14" s="996">
        <f>SUBTOTAL(9,F9:F13)</f>
        <v>2229</v>
      </c>
      <c r="G14" s="997">
        <f t="shared" si="1"/>
        <v>247.66666666666666</v>
      </c>
      <c r="H14" s="996">
        <f>SUBTOTAL(9,H9:H13)</f>
        <v>1736</v>
      </c>
      <c r="I14" s="997">
        <f>IF(ISNUMBER(H14/B14),H14/B14," - ")</f>
        <v>192.88888888888889</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5</v>
      </c>
      <c r="C16" s="445">
        <f>Datos!AQ16</f>
        <v>5</v>
      </c>
      <c r="D16" s="415">
        <f>IF(ISNUMBER(Datos!M16),Datos!M16," - ")</f>
        <v>405</v>
      </c>
      <c r="E16" s="416">
        <f t="shared" ref="E16:E20" si="3">IF(ISNUMBER(D16/B16),D16/B16," - ")</f>
        <v>81</v>
      </c>
      <c r="F16" s="415">
        <f>IF(ISNUMBER(Datos!N16),Datos!N16," - ")</f>
        <v>4448</v>
      </c>
      <c r="G16" s="416">
        <f t="shared" ref="G16:G20" si="4">IF(ISNUMBER(F16/B16),F16/B16," - ")</f>
        <v>889.6</v>
      </c>
      <c r="H16" s="415">
        <f>IF(ISNUMBER(Datos!O16),Datos!O16," - ")</f>
        <v>139</v>
      </c>
      <c r="I16" s="416">
        <f t="shared" ref="I16:I19" si="5">IF(ISNUMBER(H16/B16),H16/B16," - ")</f>
        <v>27.8</v>
      </c>
    </row>
    <row r="17" spans="1:9">
      <c r="A17" s="414" t="str">
        <f>Datos!A17</f>
        <v xml:space="preserve">Jdos. 1ª Instª. e Instr.                        </v>
      </c>
      <c r="B17" s="444">
        <f>Datos!AO17</f>
        <v>0</v>
      </c>
      <c r="C17" s="445">
        <f>Datos!AQ17</f>
        <v>0</v>
      </c>
      <c r="D17" s="415" t="str">
        <f>IF(ISNUMBER(Datos!M17),Datos!M17," - ")</f>
        <v xml:space="preserve"> - </v>
      </c>
      <c r="E17" s="416" t="str">
        <f t="shared" si="3"/>
        <v xml:space="preserve"> - </v>
      </c>
      <c r="F17" s="415" t="str">
        <f>IF(ISNUMBER(Datos!N17),Datos!N17," - ")</f>
        <v xml:space="preserve"> - </v>
      </c>
      <c r="G17" s="416" t="str">
        <f t="shared" si="4"/>
        <v xml:space="preserve"> - </v>
      </c>
      <c r="H17" s="415" t="str">
        <f>IF(ISNUMBER(Datos!O17),Datos!O17," - ")</f>
        <v xml:space="preserve"> - </v>
      </c>
      <c r="I17" s="416" t="str">
        <f t="shared" si="5"/>
        <v xml:space="preserve"> - </v>
      </c>
    </row>
    <row r="18" spans="1:9">
      <c r="A18" s="414" t="str">
        <f>Datos!A18</f>
        <v>Jdos. Violencia contra la mujer</v>
      </c>
      <c r="B18" s="444">
        <f>Datos!AO18</f>
        <v>1</v>
      </c>
      <c r="C18" s="445">
        <f>Datos!AQ18</f>
        <v>1</v>
      </c>
      <c r="D18" s="415">
        <f>IF(ISNUMBER(Datos!M18),Datos!M18," - ")</f>
        <v>7</v>
      </c>
      <c r="E18" s="416">
        <f>IF(ISNUMBER(D18/B18),D18/B18," - ")</f>
        <v>7</v>
      </c>
      <c r="F18" s="415">
        <f>IF(ISNUMBER(Datos!N18),Datos!N18," - ")</f>
        <v>222</v>
      </c>
      <c r="G18" s="416">
        <f>IF(ISNUMBER(F18/B18),F18/B18," - ")</f>
        <v>222</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6</v>
      </c>
      <c r="C20" s="998">
        <f>Datos!AR20</f>
        <v>6</v>
      </c>
      <c r="D20" s="996">
        <f>SUBTOTAL(9,D16:D19)</f>
        <v>412</v>
      </c>
      <c r="E20" s="997">
        <f t="shared" si="3"/>
        <v>68.666666666666671</v>
      </c>
      <c r="F20" s="996">
        <f>SUBTOTAL(9,F16:F19)</f>
        <v>4670</v>
      </c>
      <c r="G20" s="997">
        <f t="shared" si="4"/>
        <v>778.33333333333337</v>
      </c>
      <c r="H20" s="996">
        <f>SUBTOTAL(9,H16:H19)</f>
        <v>139</v>
      </c>
      <c r="I20" s="997">
        <f>IF(ISNUMBER(H20/B20),H20/B20," - ")</f>
        <v>23.166666666666668</v>
      </c>
    </row>
    <row r="21" spans="1:9" ht="14.25" thickTop="1" thickBot="1">
      <c r="A21" s="940" t="str">
        <f>Datos!A21</f>
        <v>TOTAL JURISDICCIONES</v>
      </c>
      <c r="B21" s="941">
        <f>Datos!AP21</f>
        <v>14</v>
      </c>
      <c r="C21" s="941">
        <f>Datos!AR21</f>
        <v>14</v>
      </c>
      <c r="D21" s="941">
        <f>SUBTOTAL(9,D8:D20)</f>
        <v>1212</v>
      </c>
      <c r="E21" s="942">
        <f>IF(ISNUMBER(D21/B21),D21/B21," - ")</f>
        <v>86.571428571428569</v>
      </c>
      <c r="F21" s="941">
        <f>SUBTOTAL(9,F8:F20)</f>
        <v>6899</v>
      </c>
      <c r="G21" s="942">
        <f>IF(ISNUMBER(F21/B21),F21/B21," - ")</f>
        <v>492.78571428571428</v>
      </c>
      <c r="H21" s="941">
        <f>SUBTOTAL(9,H8:H20)</f>
        <v>1875</v>
      </c>
      <c r="I21" s="942">
        <f>IF(ISNUMBER(H21/B21),H21/B21," - ")</f>
        <v>133.92857142857142</v>
      </c>
    </row>
    <row r="24" spans="1:9">
      <c r="A24" s="403" t="str">
        <f>Criterios!A4</f>
        <v>Fecha Informe: 06 jun. 2023</v>
      </c>
    </row>
    <row r="29" spans="1:9">
      <c r="A29" s="426"/>
    </row>
  </sheetData>
  <sheetProtection algorithmName="SHA-512" hashValue="7TnFhP2igUKPiJkNIM4KJo4OJjDSHFn/Y9YtQlh4qeYEljm9DsvuXgPeJPqgs0I56YR70pJOCQI7qhNlegzliw==" saltValue="Zc1lR2WMAqrrWnDNdPci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L'HOSPITALET DE LLOBREGAT</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f>IF(ISNUMBER(Datos!P9),Datos!P9," - ")</f>
        <v>891</v>
      </c>
      <c r="C9" s="451">
        <f>IF(ISNUMBER(Datos!Q9),Datos!Q9," - ")</f>
        <v>1409</v>
      </c>
      <c r="D9" s="420">
        <f>IF(ISNUMBER(Datos!R9),Datos!R9," - ")</f>
        <v>13131</v>
      </c>
    </row>
    <row r="10" spans="1:4">
      <c r="A10" s="414" t="str">
        <f>Datos!A10</f>
        <v>Jdos. Violencia contra la mujer</v>
      </c>
      <c r="B10" s="450">
        <f>IF(ISNUMBER(Datos!P10),Datos!P10," - ")</f>
        <v>6</v>
      </c>
      <c r="C10" s="451">
        <f>IF(ISNUMBER(Datos!Q10),Datos!Q10," - ")</f>
        <v>7</v>
      </c>
      <c r="D10" s="420">
        <f>IF(ISNUMBER(Datos!R10),Datos!R10," - ")</f>
        <v>152</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t="str">
        <f>IF(ISNUMBER(Datos!P12),Datos!P12," - ")</f>
        <v xml:space="preserve"> - </v>
      </c>
      <c r="C12" s="451" t="str">
        <f>IF(ISNUMBER(Datos!Q12),Datos!Q12," - ")</f>
        <v xml:space="preserve"> - </v>
      </c>
      <c r="D12" s="420" t="str">
        <f>IF(ISNUMBER(Datos!R12),Datos!R12," - ")</f>
        <v xml:space="preserve"> - </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897</v>
      </c>
      <c r="C14" s="1000">
        <f>SUBTOTAL(9,C9:C13)</f>
        <v>1416</v>
      </c>
      <c r="D14" s="998">
        <f>SUBTOTAL(9,D9:D13)</f>
        <v>13283</v>
      </c>
    </row>
    <row r="15" spans="1:4" ht="13.5" thickTop="1">
      <c r="A15" s="408" t="str">
        <f>Datos!A15</f>
        <v xml:space="preserve">Jurisdicción Penal ( 2 ):                      </v>
      </c>
      <c r="B15" s="418"/>
      <c r="C15" s="452"/>
      <c r="D15" s="420"/>
    </row>
    <row r="16" spans="1:4">
      <c r="A16" s="414" t="str">
        <f>Datos!A16</f>
        <v xml:space="preserve">Jdos. Instrucción                               </v>
      </c>
      <c r="B16" s="450">
        <f>IF(ISNUMBER(Datos!P16),Datos!P16," - ")</f>
        <v>232</v>
      </c>
      <c r="C16" s="451">
        <f>IF(ISNUMBER(Datos!Q16),Datos!Q16," - ")</f>
        <v>223</v>
      </c>
      <c r="D16" s="420">
        <f>IF(ISNUMBER(Datos!R16),Datos!R16," - ")</f>
        <v>455</v>
      </c>
    </row>
    <row r="17" spans="1:4">
      <c r="A17" s="414" t="str">
        <f>Datos!A17</f>
        <v xml:space="preserve">Jdos. 1ª Instª. e Instr.                        </v>
      </c>
      <c r="B17" s="450" t="str">
        <f>IF(ISNUMBER(Datos!P17),Datos!P17," - ")</f>
        <v xml:space="preserve"> - </v>
      </c>
      <c r="C17" s="451" t="str">
        <f>IF(ISNUMBER(Datos!Q17),Datos!Q17," - ")</f>
        <v xml:space="preserve"> - </v>
      </c>
      <c r="D17" s="420" t="str">
        <f>IF(ISNUMBER(Datos!R17),Datos!R17," - ")</f>
        <v xml:space="preserve"> - </v>
      </c>
    </row>
    <row r="18" spans="1:4">
      <c r="A18" s="414" t="str">
        <f>Datos!A18</f>
        <v>Jdos. Violencia contra la mujer</v>
      </c>
      <c r="B18" s="450">
        <f>IF(ISNUMBER(Datos!P18),Datos!P18," - ")</f>
        <v>2</v>
      </c>
      <c r="C18" s="451">
        <f>IF(ISNUMBER(Datos!Q18),Datos!Q18," - ")</f>
        <v>2</v>
      </c>
      <c r="D18" s="420">
        <f>IF(ISNUMBER(Datos!R18),Datos!R18," - ")</f>
        <v>0</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234</v>
      </c>
      <c r="C20" s="1000">
        <f>SUBTOTAL(9,C16:C19)</f>
        <v>225</v>
      </c>
      <c r="D20" s="998">
        <f>SUBTOTAL(9,D16:D19)</f>
        <v>455</v>
      </c>
    </row>
    <row r="21" spans="1:4" ht="16.5" customHeight="1" thickTop="1" thickBot="1">
      <c r="A21" s="940" t="str">
        <f>Datos!A21</f>
        <v>TOTAL JURISDICCIONES</v>
      </c>
      <c r="B21" s="945">
        <f>SUBTOTAL(9,B8:B20)</f>
        <v>1131</v>
      </c>
      <c r="C21" s="946">
        <f>SUBTOTAL(9,C8:C20)</f>
        <v>1641</v>
      </c>
      <c r="D21" s="947">
        <f>SUBTOTAL(9,D8:D20)</f>
        <v>13738</v>
      </c>
    </row>
    <row r="22" spans="1:4" ht="7.5" customHeight="1"/>
    <row r="23" spans="1:4" ht="6" customHeight="1"/>
    <row r="24" spans="1:4">
      <c r="A24" s="403" t="str">
        <f>Criterios!A4</f>
        <v>Fecha Informe: 06 jun. 2023</v>
      </c>
    </row>
    <row r="29" spans="1:4">
      <c r="A29" s="426"/>
    </row>
  </sheetData>
  <sheetProtection algorithmName="SHA-512" hashValue="QKUxrxpfTrlQR/48aFhCBFxBqLM2mst5SW6aSvVSfjDbtR/A2Lr4ii3+rOof91+TLPwV4qXNz3x5nx3XlrXj2A==" saltValue="Lwyjl0Qq3uW/sOlOrusH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L'HOSPITALET DE LLOBREGAT</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f>IF(ISNUMBER(
   IF(J_V="SI",(Datos!I9-Datos!S9)/Datos!S9,(Datos!I9+Datos!Y9-(Datos!S9+Datos!AG9))/(Datos!S9+Datos!AG9))
     ),IF(J_V="SI",(Datos!I9-Datos!S9)/Datos!S9,(Datos!I9+Datos!Y9-(Datos!S9+Datos!AG9))/(Datos!S9+Datos!AG9))," - ")</f>
        <v>0.28719081272084807</v>
      </c>
      <c r="C9" s="473">
        <f>IF(ISNUMBER(
   IF(J_V="SI",(Datos!J9-Datos!T9)/Datos!T9,(Datos!J9+Datos!Z9-(Datos!T9+Datos!AH9))/(Datos!T9+Datos!AH9))
     ),IF(J_V="SI",(Datos!J9-Datos!T9)/Datos!T9,(Datos!J9+Datos!Z9-(Datos!T9+Datos!AH9))/(Datos!T9+Datos!AH9))," - ")</f>
        <v>-8.883301906557721E-2</v>
      </c>
      <c r="D9" s="473">
        <f>IF(ISNUMBER(
   IF(J_V="SI",(Datos!K9-Datos!U9)/Datos!U9,(Datos!K9+Datos!AA9-(Datos!U9+Datos!AI9))/(Datos!U9+Datos!AI9))
     ),IF(J_V="SI",(Datos!K9-Datos!U9)/Datos!U9,(Datos!K9+Datos!AA9-(Datos!U9+Datos!AI9))/(Datos!U9+Datos!AI9))," - ")</f>
        <v>0.2107182940516274</v>
      </c>
      <c r="E9" s="473">
        <f>IF(ISNUMBER(
   IF(J_V="SI",(Datos!L9-Datos!V9)/Datos!V9,(Datos!L9+Datos!AB9-(Datos!V9+Datos!AJ9))/(Datos!V9+Datos!AJ9))
     ),IF(J_V="SI",(Datos!L9-Datos!V9)/Datos!V9,(Datos!L9+Datos!AB9-(Datos!V9+Datos!AJ9))/(Datos!V9+Datos!AJ9))," - ")</f>
        <v>0.15958713775307662</v>
      </c>
      <c r="F9" s="473">
        <f>IF(ISNUMBER((Datos!M9-Datos!W9)/Datos!W9),(Datos!M9-Datos!W9)/Datos!W9," - ")</f>
        <v>4.9932523616734142E-2</v>
      </c>
      <c r="G9" s="474">
        <f>IF(ISNUMBER((Datos!N9-Datos!X9)/Datos!X9),(Datos!N9-Datos!X9)/Datos!X9," - ")</f>
        <v>0.3471882640586797</v>
      </c>
      <c r="H9" s="472">
        <f>IF(ISNUMBER(((NºAsuntos!G9/NºAsuntos!E9)-Datos!BD9)/Datos!BD9),((NºAsuntos!G9/NºAsuntos!E9)-Datos!BD9)/Datos!BD9," - ")</f>
        <v>0.32875567199549727</v>
      </c>
      <c r="I9" s="473">
        <f>IF(ISNUMBER(((NºAsuntos!I9/NºAsuntos!G9)-Datos!BE9)/Datos!BE9),((NºAsuntos!I9/NºAsuntos!G9)-Datos!BE9)/Datos!BE9," - ")</f>
        <v>-4.2232083672777455E-2</v>
      </c>
      <c r="J9" s="478">
        <f>IF(ISNUMBER((('Resol  Asuntos'!D9/NºAsuntos!G9)-Datos!BF9)/Datos!BF9),(('Resol  Asuntos'!D9/NºAsuntos!G9)-Datos!BF9)/Datos!BF9," - ")</f>
        <v>-0.60721653865658831</v>
      </c>
      <c r="K9" s="479">
        <f>IF(ISNUMBER((((NºAsuntos!C9+NºAsuntos!E9)/NºAsuntos!G9)-Datos!BG9)/Datos!BG9),(((NºAsuntos!C9+NºAsuntos!E9)/NºAsuntos!G9)-Datos!BG9)/Datos!BG9," - ")</f>
        <v>-2.8951288998858616E-2</v>
      </c>
    </row>
    <row r="10" spans="1:11">
      <c r="A10" s="414" t="str">
        <f>Datos!A10</f>
        <v>Jdos. Violencia contra la mujer</v>
      </c>
      <c r="B10" s="472">
        <f>IF(ISNUMBER((Datos!I10-Datos!S10)/Datos!S10),(Datos!I10-Datos!S10)/Datos!S10," - ")</f>
        <v>0.352112676056338</v>
      </c>
      <c r="C10" s="473">
        <f>IF(ISNUMBER((Datos!J10-Datos!T10)/Datos!T10),(Datos!J10-Datos!T10)/Datos!T10," - ")</f>
        <v>5.3571428571428568E-2</v>
      </c>
      <c r="D10" s="473">
        <f>IF(ISNUMBER((Datos!K10-Datos!U10)/Datos!U10),(Datos!K10-Datos!U10)/Datos!U10," - ")</f>
        <v>0.59375</v>
      </c>
      <c r="E10" s="473">
        <f>IF(ISNUMBER((Datos!L10-Datos!V10)/Datos!V10),(Datos!L10-Datos!V10)/Datos!V10," - ")</f>
        <v>0.20481927710843373</v>
      </c>
      <c r="F10" s="473">
        <f>IF(ISNUMBER((Datos!M10-Datos!W10)/Datos!W10),(Datos!M10-Datos!W10)/Datos!W10," - ")</f>
        <v>1</v>
      </c>
      <c r="G10" s="474">
        <f>IF(ISNUMBER((Datos!N10-Datos!X10)/Datos!X10),(Datos!N10-Datos!X10)/Datos!X10," - ")</f>
        <v>0.3888888888888889</v>
      </c>
      <c r="H10" s="472">
        <f>IF(ISNUMBER(((NºAsuntos!G10/NºAsuntos!E10)-Datos!BD10)/Datos!BD10),((NºAsuntos!G10/NºAsuntos!E10)-Datos!BD10)/Datos!BD10," - ")</f>
        <v>0.51271186440677985</v>
      </c>
      <c r="I10" s="473">
        <f>IF(ISNUMBER(((NºAsuntos!I10/NºAsuntos!G10)-Datos!BE10)/Datos!BE10),((NºAsuntos!I10/NºAsuntos!G10)-Datos!BE10)/Datos!BE10," - ")</f>
        <v>-0.24403496338294356</v>
      </c>
      <c r="J10" s="478">
        <f>IF(ISNUMBER((('Resol  Asuntos'!D10/NºAsuntos!G10)-Datos!BF10)/Datos!BF10),(('Resol  Asuntos'!D10/NºAsuntos!G10)-Datos!BF10)/Datos!BF10," - ")</f>
        <v>0.25490196078431376</v>
      </c>
      <c r="K10" s="479">
        <f>IF(ISNUMBER((((NºAsuntos!C10+NºAsuntos!E10)/NºAsuntos!G10)-Datos!BG10)/Datos!BG10),(((NºAsuntos!C10+NºAsuntos!E10)/NºAsuntos!G10)-Datos!BG10)/Datos!BG10," - ")</f>
        <v>-0.20459496930085161</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t="str">
        <f>IF(ISNUMBER(
   IF(J_V="SI",(Datos!I12-Datos!S12)/Datos!S12,(Datos!I12+Datos!Y12-(Datos!S12+Datos!AG12))/(Datos!S12+Datos!AG12))
     ),IF(J_V="SI",(Datos!I12-Datos!S12)/Datos!S12,(Datos!I12+Datos!Y12-(Datos!S12+Datos!AG12))/(Datos!S12+Datos!AG12))," - ")</f>
        <v xml:space="preserve"> - </v>
      </c>
      <c r="C12" s="473" t="str">
        <f>IF(ISNUMBER(
   IF(J_V="SI",(Datos!J12-Datos!T12)/Datos!T12,(Datos!J12+Datos!Z12-(Datos!T12+Datos!AH12))/(Datos!T12+Datos!AH12))
     ),IF(J_V="SI",(Datos!J12-Datos!T12)/Datos!T12,(Datos!J12+Datos!Z12-(Datos!T12+Datos!AH12))/(Datos!T12+Datos!AH12))," - ")</f>
        <v xml:space="preserve"> - </v>
      </c>
      <c r="D12" s="473" t="str">
        <f>IF(ISNUMBER(
   IF(J_V="SI",(Datos!K12-Datos!U12)/Datos!U12,(Datos!K12+Datos!AA12-(Datos!U12+Datos!AI12))/(Datos!U12+Datos!AI12))
     ),IF(J_V="SI",(Datos!K12-Datos!U12)/Datos!U12,(Datos!K12+Datos!AA12-(Datos!U12+Datos!AI12))/(Datos!U12+Datos!AI12))," - ")</f>
        <v xml:space="preserve"> - </v>
      </c>
      <c r="E12" s="473" t="str">
        <f>IF(ISNUMBER(
   IF(J_V="SI",(Datos!L12-Datos!V12)/Datos!V12,(Datos!L12+Datos!AB12-(Datos!V12+Datos!AJ12))/(Datos!V12+Datos!AJ12))
     ),IF(J_V="SI",(Datos!L12-Datos!V12)/Datos!V12,(Datos!L12+Datos!AB12-(Datos!V12+Datos!AJ12))/(Datos!V12+Datos!AJ12))," - ")</f>
        <v xml:space="preserve"> - </v>
      </c>
      <c r="F12" s="473" t="str">
        <f>IF(ISNUMBER((Datos!M12-Datos!W12)/Datos!W12),(Datos!M12-Datos!W12)/Datos!W12," - ")</f>
        <v xml:space="preserve"> - </v>
      </c>
      <c r="G12" s="474" t="str">
        <f>IF(ISNUMBER((Datos!N12-Datos!X12)/Datos!X12),(Datos!N12-Datos!X12)/Datos!X12," - ")</f>
        <v xml:space="preserve"> - </v>
      </c>
      <c r="H12" s="472" t="str">
        <f>IF(ISNUMBER(((NºAsuntos!G12/NºAsuntos!E12)-Datos!BD12)/Datos!BD12),((NºAsuntos!G12/NºAsuntos!E12)-Datos!BD12)/Datos!BD12," - ")</f>
        <v xml:space="preserve"> - </v>
      </c>
      <c r="I12" s="473" t="str">
        <f>IF(ISNUMBER(((NºAsuntos!I12/NºAsuntos!G12)-Datos!BE12)/Datos!BE12),((NºAsuntos!I12/NºAsuntos!G12)-Datos!BE12)/Datos!BE12," - ")</f>
        <v xml:space="preserve"> - </v>
      </c>
      <c r="J12" s="478" t="str">
        <f>IF(ISNUMBER((('Resol  Asuntos'!D12/NºAsuntos!G12)-Datos!BF12)/Datos!BF12),(('Resol  Asuntos'!D12/NºAsuntos!G12)-Datos!BF12)/Datos!BF12," - ")</f>
        <v xml:space="preserve"> - </v>
      </c>
      <c r="K12" s="479" t="str">
        <f>IF(ISNUMBER((((NºAsuntos!C12+NºAsuntos!E12)/NºAsuntos!G12)-Datos!BG12)/Datos!BG12),(((NºAsuntos!C12+NºAsuntos!E12)/NºAsuntos!G12)-Datos!BG12)/Datos!BG12," - ")</f>
        <v xml:space="preserve"> - </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0.28799511429069968</v>
      </c>
      <c r="C14" s="1002">
        <f>IF(ISNUMBER(
   IF(J_V="SI",(Datos!J14-Datos!T14)/Datos!T14,(Datos!J14+Datos!Z14-(Datos!T14+Datos!AH14))/(Datos!T14+Datos!AH14))
     ),IF(J_V="SI",(Datos!J14-Datos!T14)/Datos!T14,(Datos!J14+Datos!Z14-(Datos!T14+Datos!AH14))/(Datos!T14+Datos!AH14))," - ")</f>
        <v>-8.7181611099606537E-2</v>
      </c>
      <c r="D14" s="1002">
        <f>IF(ISNUMBER(
   IF(J_V="SI",(Datos!K14-Datos!U14)/Datos!U14,(Datos!K14+Datos!AA14-(Datos!U14+Datos!AI14))/(Datos!U14+Datos!AI14))
     ),IF(J_V="SI",(Datos!K14-Datos!U14)/Datos!U14,(Datos!K14+Datos!AA14-(Datos!U14+Datos!AI14))/(Datos!U14+Datos!AI14))," - ")</f>
        <v>0.21412680756395996</v>
      </c>
      <c r="E14" s="1002">
        <f>IF(ISNUMBER(
   IF(J_V="SI",(Datos!L14-Datos!V14)/Datos!V14,(Datos!L14+Datos!AB14-(Datos!V14+Datos!AJ14))/(Datos!V14+Datos!AJ14))
     ),IF(J_V="SI",(Datos!L14-Datos!V14)/Datos!V14,(Datos!L14+Datos!AB14-(Datos!V14+Datos!AJ14))/(Datos!V14+Datos!AJ14))," - ")</f>
        <v>0.16017553483269337</v>
      </c>
      <c r="F14" s="1003">
        <f>IF(ISNUMBER((Datos!M14-Datos!W14)/Datos!W14),(Datos!M14-Datos!W14)/Datos!W14," - ")</f>
        <v>6.3829787234042548E-2</v>
      </c>
      <c r="G14" s="1004">
        <f>IF(ISNUMBER((Datos!N14-Datos!X14)/Datos!X14),(Datos!N14-Datos!X14)/Datos!X14," - ")</f>
        <v>0.34764207980652961</v>
      </c>
      <c r="H14" s="1004">
        <f>IF(ISNUMBER(((NºAsuntos!G14/NºAsuntos!E14)-Datos!BD14)/Datos!BD14),((NºAsuntos!G14/NºAsuntos!E14)-Datos!BD14)/Datos!BD14," - ")</f>
        <v>0.33008583342249598</v>
      </c>
      <c r="I14" s="1004">
        <f>IF(ISNUMBER(((NºAsuntos!I14/NºAsuntos!G14)-Datos!BE14)/Datos!BE14),((NºAsuntos!I14/NºAsuntos!G14)-Datos!BE14)/Datos!BE14," - ")</f>
        <v>-4.4436275020988299E-2</v>
      </c>
      <c r="J14" s="1004">
        <f>IF(ISNUMBER((('Resol  Asuntos'!D14/NºAsuntos!G14)-Datos!BF14)/Datos!BF14),(('Resol  Asuntos'!D14/NºAsuntos!G14)-Datos!BF14)/Datos!BF14," - ")</f>
        <v>-0.59993335931096414</v>
      </c>
      <c r="K14" s="1004">
        <f>IF(ISNUMBER((((NºAsuntos!C14+NºAsuntos!E14)/NºAsuntos!G14)-Datos!BG14)/Datos!BG14),(((NºAsuntos!C14+NºAsuntos!E14)/NºAsuntos!G14)-Datos!BG14)/Datos!BG14," - ")</f>
        <v>-3.0756325918779213E-2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f>IF(ISNUMBER(
   IF(D_I="SI",(Datos!I16-Datos!S16)/Datos!S16,(Datos!I16+Datos!AC16-(Datos!S16+Datos!AK16))/(Datos!S16+Datos!AK16))
     ),IF(D_I="SI",(Datos!I16-Datos!S16)/Datos!S16,(Datos!I16+Datos!AC16-(Datos!S16+Datos!AK16))/(Datos!S16+Datos!AK16))," - ")</f>
        <v>0.17023445463812437</v>
      </c>
      <c r="C16" s="473">
        <f>IF(ISNUMBER(
   IF(D_I="SI",(Datos!J16-Datos!T16)/Datos!T16,(Datos!J16+Datos!AD16-(Datos!T16+Datos!AL16))/(Datos!T16+Datos!AL16))
     ),IF(D_I="SI",(Datos!J16-Datos!T16)/Datos!T16,(Datos!J16+Datos!AD16-(Datos!T16+Datos!AL16))/(Datos!T16+Datos!AL16))," - ")</f>
        <v>7.1340060187643828E-2</v>
      </c>
      <c r="D16" s="473">
        <f>IF(ISNUMBER(
   IF(D_I="SI",(Datos!K16-Datos!U16)/Datos!U16,(Datos!K16+Datos!AE16-(Datos!U16+Datos!AM16))/(Datos!U16+Datos!AM16))
     ),IF(D_I="SI",(Datos!K16-Datos!U16)/Datos!U16,(Datos!K16+Datos!AE16-(Datos!U16+Datos!AM16))/(Datos!U16+Datos!AM16))," - ")</f>
        <v>5.7188669160876539E-2</v>
      </c>
      <c r="E16" s="473">
        <f>IF(ISNUMBER(
   IF(D_I="SI",(Datos!L16-Datos!V16)/Datos!V16,(Datos!L16+Datos!AF16-(Datos!V16+Datos!AN16))/(Datos!V16+Datos!AN16))
     ),IF(D_I="SI",(Datos!L16-Datos!V16)/Datos!V16,(Datos!L16+Datos!AF16-(Datos!V16+Datos!AN16))/(Datos!V16+Datos!AN16))," - ")</f>
        <v>0.18760357971494862</v>
      </c>
      <c r="F16" s="473">
        <f>IF(ISNUMBER((Datos!M16-Datos!W16)/Datos!W16),(Datos!M16-Datos!W16)/Datos!W16," - ")</f>
        <v>3.8461538461538464E-2</v>
      </c>
      <c r="G16" s="474">
        <f>IF(ISNUMBER((Datos!N16-Datos!X16)/Datos!X16),(Datos!N16-Datos!X16)/Datos!X16," - ")</f>
        <v>0.10646766169154229</v>
      </c>
      <c r="H16" s="472">
        <f>IF(ISNUMBER(((NºAsuntos!G16/NºAsuntos!E16)-Datos!BD16)/Datos!BD16),((NºAsuntos!G16/NºAsuntos!E16)-Datos!BD16)/Datos!BD16," - ")</f>
        <v>-1.3209056164938598E-2</v>
      </c>
      <c r="I16" s="473">
        <f>IF(ISNUMBER(((NºAsuntos!I16/NºAsuntos!G16)-Datos!BE16)/Datos!BE16),((NºAsuntos!I16/NºAsuntos!G16)-Datos!BE16)/Datos!BE16," - ")</f>
        <v>0.12336011003370519</v>
      </c>
      <c r="J16" s="478">
        <f>IF(ISNUMBER((('Resol  Asuntos'!D16/NºAsuntos!G16)-Datos!BF16)/Datos!BF16),(('Resol  Asuntos'!D16/NºAsuntos!G16)-Datos!BF16)/Datos!BF16," - ")</f>
        <v>-1.7714085712063402E-2</v>
      </c>
      <c r="K16" s="479">
        <f>IF(ISNUMBER((((NºAsuntos!C16+NºAsuntos!E16)/NºAsuntos!G16)-Datos!BG16)/Datos!BG16),(((NºAsuntos!C16+NºAsuntos!E16)/NºAsuntos!G16)-Datos!BG16)/Datos!BG16," - ")</f>
        <v>4.5427542822066867E-2</v>
      </c>
    </row>
    <row r="17" spans="1:12">
      <c r="A17" s="414" t="str">
        <f>Datos!A17</f>
        <v xml:space="preserve">Jdos. 1ª Instª. e Instr.                        </v>
      </c>
      <c r="B17" s="472" t="str">
        <f>IF(ISNUMBER(
   IF(D_I="SI",(Datos!I17-Datos!S17)/Datos!S17,(Datos!I17+Datos!AC17-(Datos!S17+Datos!AK17))/(Datos!S17+Datos!AK17))
     ),IF(D_I="SI",(Datos!I17-Datos!S17)/Datos!S17,(Datos!I17+Datos!AC17-(Datos!S17+Datos!AK17))/(Datos!S17+Datos!AK17))," - ")</f>
        <v xml:space="preserve"> - </v>
      </c>
      <c r="C17" s="473" t="str">
        <f>IF(ISNUMBER(
   IF(D_I="SI",(Datos!J17-Datos!T17)/Datos!T17,(Datos!J17+Datos!AD17-(Datos!T17+Datos!AL17))/(Datos!T17+Datos!AL17))
     ),IF(D_I="SI",(Datos!J17-Datos!T17)/Datos!T17,(Datos!J17+Datos!AD17-(Datos!T17+Datos!AL17))/(Datos!T17+Datos!AL17))," - ")</f>
        <v xml:space="preserve"> - </v>
      </c>
      <c r="D17" s="473" t="str">
        <f>IF(ISNUMBER(
   IF(D_I="SI",(Datos!K17-Datos!U17)/Datos!U17,(Datos!K17+Datos!AE17-(Datos!U17+Datos!AM17))/(Datos!U17+Datos!AM17))
     ),IF(D_I="SI",(Datos!K17-Datos!U17)/Datos!U17,(Datos!K17+Datos!AE17-(Datos!U17+Datos!AM17))/(Datos!U17+Datos!AM17))," - ")</f>
        <v xml:space="preserve"> - </v>
      </c>
      <c r="E17" s="473" t="str">
        <f>IF(ISNUMBER(
   IF(D_I="SI",(Datos!L17-Datos!V17)/Datos!V17,(Datos!L17+Datos!AF17-(Datos!V17+Datos!AN17))/(Datos!V17+Datos!AN17))
     ),IF(D_I="SI",(Datos!L17-Datos!V17)/Datos!V17,(Datos!L17+Datos!AF17-(Datos!V17+Datos!AN17))/(Datos!V17+Datos!AN17))," - ")</f>
        <v xml:space="preserve"> - </v>
      </c>
      <c r="F17" s="473" t="str">
        <f>IF(ISNUMBER((Datos!M17-Datos!W17)/Datos!W17),(Datos!M17-Datos!W17)/Datos!W17," - ")</f>
        <v xml:space="preserve"> - </v>
      </c>
      <c r="G17" s="474" t="str">
        <f>IF(ISNUMBER((Datos!N17-Datos!X17)/Datos!X17),(Datos!N17-Datos!X17)/Datos!X17," - ")</f>
        <v xml:space="preserve"> - </v>
      </c>
      <c r="H17" s="472" t="str">
        <f>IF(ISNUMBER(((NºAsuntos!G17/NºAsuntos!E17)-Datos!BD17)/Datos!BD17),((NºAsuntos!G17/NºAsuntos!E17)-Datos!BD17)/Datos!BD17," - ")</f>
        <v xml:space="preserve"> - </v>
      </c>
      <c r="I17" s="473" t="str">
        <f>IF(ISNUMBER(((NºAsuntos!I17/NºAsuntos!G17)-Datos!BE17)/Datos!BE17),((NºAsuntos!I17/NºAsuntos!G17)-Datos!BE17)/Datos!BE17," - ")</f>
        <v xml:space="preserve"> - </v>
      </c>
      <c r="J17" s="478" t="str">
        <f>IF(ISNUMBER((('Resol  Asuntos'!D17/NºAsuntos!G17)-Datos!BF17)/Datos!BF17),(('Resol  Asuntos'!D17/NºAsuntos!G17)-Datos!BF17)/Datos!BF17," - ")</f>
        <v xml:space="preserve"> - </v>
      </c>
      <c r="K17" s="479" t="str">
        <f>IF(ISNUMBER((((NºAsuntos!C17+NºAsuntos!E17)/NºAsuntos!G17)-Datos!BG17)/Datos!BG17),(((NºAsuntos!C17+NºAsuntos!E17)/NºAsuntos!G17)-Datos!BG17)/Datos!BG17," - ")</f>
        <v xml:space="preserve"> - </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0.47654320987654319</v>
      </c>
      <c r="C18" s="473">
        <f>IF(ISNUMBER(
   IF(D_I="SI",(Datos!J18-Datos!T18)/Datos!T18,(Datos!J18+Datos!AD18-(Datos!T18+Datos!AL18))/(Datos!T18+Datos!AL18))
     ),IF(D_I="SI",(Datos!J18-Datos!T18)/Datos!T18,(Datos!J18+Datos!AD18-(Datos!T18+Datos!AL18))/(Datos!T18+Datos!AL18))," - ")</f>
        <v>4.0268456375838924E-2</v>
      </c>
      <c r="D18" s="473">
        <f>IF(ISNUMBER(
   IF(D_I="SI",(Datos!K18-Datos!U18)/Datos!U18,(Datos!K18+Datos!AE18-(Datos!U18+Datos!AM18))/(Datos!U18+Datos!AM18))
     ),IF(D_I="SI",(Datos!K18-Datos!U18)/Datos!U18,(Datos!K18+Datos!AE18-(Datos!U18+Datos!AM18))/(Datos!U18+Datos!AM18))," - ")</f>
        <v>6.0165975103734441E-2</v>
      </c>
      <c r="E18" s="473">
        <f>IF(ISNUMBER(
   IF(D_I="SI",(Datos!L18-Datos!V18)/Datos!V18,(Datos!L18+Datos!AF18-(Datos!V18+Datos!AN18))/(Datos!V18+Datos!AN18))
     ),IF(D_I="SI",(Datos!L18-Datos!V18)/Datos!V18,(Datos!L18+Datos!AF18-(Datos!V18+Datos!AN18))/(Datos!V18+Datos!AN18))," - ")</f>
        <v>0.49189189189189192</v>
      </c>
      <c r="F18" s="473">
        <f>IF(ISNUMBER((Datos!M18-Datos!W18)/Datos!W18),(Datos!M18-Datos!W18)/Datos!W18," - ")</f>
        <v>0.4</v>
      </c>
      <c r="G18" s="474">
        <f>IF(ISNUMBER((Datos!N18-Datos!X18)/Datos!X18),(Datos!N18-Datos!X18)/Datos!X18," - ")</f>
        <v>-0.20714285714285716</v>
      </c>
      <c r="H18" s="472">
        <f>IF(ISNUMBER(((NºAsuntos!G18/NºAsuntos!E18)-Datos!BD18)/Datos!BD18),((NºAsuntos!G18/NºAsuntos!E18)-Datos!BD18)/Datos!BD18," - ")</f>
        <v>1.9127292196493E-2</v>
      </c>
      <c r="I18" s="473">
        <f>IF(ISNUMBER(((NºAsuntos!I18/NºAsuntos!G18)-Datos!BE18)/Datos!BE18),((NºAsuntos!I18/NºAsuntos!G18)-Datos!BE18)/Datos!BE18," - ")</f>
        <v>0.40722483736182352</v>
      </c>
      <c r="J18" s="478">
        <f>IF(ISNUMBER((('Resol  Asuntos'!D18/NºAsuntos!G18)-Datos!BF18)/Datos!BF18),(('Resol  Asuntos'!D18/NºAsuntos!G18)-Datos!BF18)/Datos!BF18," - ")</f>
        <v>0.32054794520547941</v>
      </c>
      <c r="K18" s="479">
        <f>IF(ISNUMBER((((NºAsuntos!C18+NºAsuntos!E18)/NºAsuntos!G18)-Datos!BG18)/Datos!BG18),(((NºAsuntos!C18+NºAsuntos!E18)/NºAsuntos!G18)-Datos!BG18)/Datos!BG18," - ")</f>
        <v>0.17684646692943048</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0.2072879330943847</v>
      </c>
      <c r="C20" s="1002">
        <f>IF(ISNUMBER(
   IF(Criterios!B14="SI",(Datos!J20-Datos!T20)/Datos!T20,(Datos!J20+Datos!AD20-(Datos!T20+Datos!AL20))/(Datos!T20+Datos!AL20))
     ),IF(Criterios!B14="SI",(Datos!J20-Datos!T20)/Datos!T20,(Datos!J20+Datos!AD20-(Datos!T20+Datos!AL20))/(Datos!T20+Datos!AL20))," - ")</f>
        <v>6.9061679790026254E-2</v>
      </c>
      <c r="D20" s="1002">
        <f>IF(ISNUMBER(
   IF(Criterios!B14="SI",(Datos!K20-Datos!U20)/Datos!U20,(Datos!K20+Datos!AE20-(Datos!U20+Datos!AM20))/(Datos!U20+Datos!AM20))
     ),IF(Criterios!B14="SI",(Datos!K20-Datos!U20)/Datos!U20,(Datos!K20+Datos!AE20-(Datos!U20+Datos!AM20))/(Datos!U20+Datos!AM20))," - ")</f>
        <v>5.742411812961444E-2</v>
      </c>
      <c r="E20" s="1002">
        <f>IF(ISNUMBER(
   IF(Criterios!B14="SI",(Datos!L20-Datos!V20)/Datos!V20,(Datos!L20+Datos!AF20-(Datos!V20+Datos!AN20))/(Datos!V20+Datos!AN20))
     ),IF(Criterios!B14="SI",(Datos!L20-Datos!V20)/Datos!V20,(Datos!L20+Datos!AF20-(Datos!V20+Datos!AN20))/(Datos!V20+Datos!AN20))," - ")</f>
        <v>0.22084440507824032</v>
      </c>
      <c r="F20" s="1003">
        <f>IF(ISNUMBER((Datos!M20-Datos!W20)/Datos!W20),(Datos!M20-Datos!W20)/Datos!W20," - ")</f>
        <v>4.3037974683544304E-2</v>
      </c>
      <c r="G20" s="1004">
        <f>IF(ISNUMBER((Datos!N20-Datos!X20)/Datos!X20),(Datos!N20-Datos!X20)/Datos!X20," - ")</f>
        <v>8.6046511627906982E-2</v>
      </c>
      <c r="H20" s="1004">
        <f>IF(ISNUMBER(((NºAsuntos!G20/NºAsuntos!E20)-Datos!BD20)/Datos!BD20),((NºAsuntos!G20/NºAsuntos!E20)-Datos!BD20)/Datos!BD20," - ")</f>
        <v>-1.088577196284655E-2</v>
      </c>
      <c r="I20" s="1004">
        <f>IF(ISNUMBER(((NºAsuntos!I20/NºAsuntos!G20)-Datos!BE20)/Datos!BE20),((NºAsuntos!I20/NºAsuntos!G20)-Datos!BE20)/Datos!BE20," - ")</f>
        <v>0.15454563986840575</v>
      </c>
      <c r="J20" s="1004">
        <f>IF(ISNUMBER((('Resol  Asuntos'!D20/NºAsuntos!G20)-Datos!BF20)/Datos!BF20),(('Resol  Asuntos'!D20/NºAsuntos!G20)-Datos!BF20)/Datos!BF20," - ")</f>
        <v>-1.360489438383191E-2</v>
      </c>
      <c r="K20" s="1004">
        <f>IF(ISNUMBER((((NºAsuntos!C20+NºAsuntos!E20)/NºAsuntos!G20)-Datos!BG20)/Datos!BG20),(((NºAsuntos!C20+NºAsuntos!E20)/NºAsuntos!G20)-Datos!BG20)/Datos!BG20," - ")</f>
        <v>5.7347151753885356E-2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0.26975016880486158</v>
      </c>
      <c r="C21" s="949">
        <f>IF(ISNUMBER(
   IF(J_V="SI",(Datos!J21-Datos!T21)/Datos!T21,(Datos!J21+Datos!Z21-(Datos!T21+Datos!AH21))/(Datos!T21+Datos!AH21))
     ),IF(J_V="SI",(Datos!J21-Datos!T21)/Datos!T21,(Datos!J21+Datos!Z21-(Datos!T21+Datos!AH21))/(Datos!T21+Datos!AH21))," - ")</f>
        <v>0</v>
      </c>
      <c r="D21" s="949">
        <f>IF(ISNUMBER(
   IF(J_V="SI",(Datos!K21-Datos!U21)/Datos!U21,(Datos!K21+Datos!AA21-(Datos!U21+Datos!AI21))/(Datos!U21+Datos!AI21))
     ),IF(J_V="SI",(Datos!K21-Datos!U21)/Datos!U21,(Datos!K21+Datos!AA21-(Datos!U21+Datos!AI21))/(Datos!U21+Datos!AI21))," - ")</f>
        <v>0.1155711484882881</v>
      </c>
      <c r="E21" s="949">
        <f>IF(ISNUMBER(
   IF(J_V="SI",(Datos!L21-Datos!V21)/Datos!V21,(Datos!L21+Datos!AB21-(Datos!V21+Datos!AJ21))/(Datos!V21+Datos!AJ21))
     ),IF(J_V="SI",(Datos!L21-Datos!V21)/Datos!V21,(Datos!L21+Datos!AB21-(Datos!V21+Datos!AJ21))/(Datos!V21+Datos!AJ21))," - ")</f>
        <v>0.17290066881347535</v>
      </c>
      <c r="F21" s="950">
        <f>IF(ISNUMBER((Datos!M21-Datos!W21)/Datos!W21),(Datos!M21-Datos!W21)/Datos!W21," - ")</f>
        <v>5.6669572798605058E-2</v>
      </c>
      <c r="G21" s="951">
        <f>IF(ISNUMBER((Datos!N21-Datos!X21)/Datos!X21),(Datos!N21-Datos!X21)/Datos!X21," - ")</f>
        <v>0.15871682902250589</v>
      </c>
      <c r="H21" s="952">
        <f>IF(ISNUMBER((Tasas!B21-Datos!BD21)/Datos!BD21),(Tasas!B21-Datos!BD21)/Datos!BD21," - ")</f>
        <v>0.11557114848828808</v>
      </c>
      <c r="I21" s="953">
        <f>IF(ISNUMBER((Tasas!C21-Datos!BE21)/Datos!BE21),(Tasas!C21-Datos!BE21)/Datos!BE21," - ")</f>
        <v>5.1390285956099256E-2</v>
      </c>
      <c r="J21" s="954">
        <f>IF(ISNUMBER((Tasas!D21-Datos!BF21)/Datos!BF21),(Tasas!D21-Datos!BF21)/Datos!BF21," - ")</f>
        <v>-0.46795347829698974</v>
      </c>
      <c r="K21" s="954">
        <f>IF(ISNUMBER((Tasas!E21-Datos!BG21)/Datos!BG21),(Tasas!E21-Datos!BG21)/Datos!BG21," - ")</f>
        <v>3.555569844751346E-2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bu2ypPTOUtvElgsPsUkruqDE42mhgtV2P9udx5axQRC2Rk1GTLkev7/vHeOZgjs1QPmPNLGW7wcJl9q+lyYU4A==" saltValue="5gRnTWd11OPX4mUp0miytQ=="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L'HOSPITALET DE LLOBREGAT</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f>IF(ISNUMBER(NºAsuntos!G9/NºAsuntos!E9),NºAsuntos!G9/NºAsuntos!E9," - ")</f>
        <v>0.9921821108300759</v>
      </c>
      <c r="C9" s="460">
        <f>IF(ISNUMBER(NºAsuntos!I9/NºAsuntos!G9),NºAsuntos!I9/NºAsuntos!G9," - ")</f>
        <v>3.3847045191193512</v>
      </c>
      <c r="D9" s="461">
        <f>IF(ISNUMBER('Resol  Asuntos'!D9/NºAsuntos!G9),'Resol  Asuntos'!D9/NºAsuntos!G9," - ")</f>
        <v>0.18030127462340673</v>
      </c>
      <c r="E9" s="462">
        <f>IF(ISNUMBER((NºAsuntos!C9+NºAsuntos!E9)/NºAsuntos!G9),(NºAsuntos!C9+NºAsuntos!E9)/NºAsuntos!G9," - ")</f>
        <v>4.3847045191193512</v>
      </c>
      <c r="G9" s="480"/>
    </row>
    <row r="10" spans="1:7">
      <c r="A10" s="414" t="str">
        <f>Datos!A10</f>
        <v>Jdos. Violencia contra la mujer</v>
      </c>
      <c r="B10" s="459">
        <f>IF(ISNUMBER(NºAsuntos!G10/NºAsuntos!E10),NºAsuntos!G10/NºAsuntos!E10," - ")</f>
        <v>0.86440677966101698</v>
      </c>
      <c r="C10" s="460">
        <f>IF(ISNUMBER(NºAsuntos!I10/NºAsuntos!G10),NºAsuntos!I10/NºAsuntos!G10," - ")</f>
        <v>3.9215686274509802</v>
      </c>
      <c r="D10" s="461">
        <f>IF(ISNUMBER('Resol  Asuntos'!D10/NºAsuntos!G10),'Resol  Asuntos'!D10/NºAsuntos!G10," - ")</f>
        <v>0.43137254901960786</v>
      </c>
      <c r="E10" s="462">
        <f>IF(ISNUMBER((NºAsuntos!C10+NºAsuntos!E10)/NºAsuntos!G10),(NºAsuntos!C10+NºAsuntos!E10)/NºAsuntos!G10," - ")</f>
        <v>4.9215686274509807</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t="str">
        <f>IF(ISNUMBER(NºAsuntos!G12/NºAsuntos!E12),NºAsuntos!G12/NºAsuntos!E12," - ")</f>
        <v xml:space="preserve"> - </v>
      </c>
      <c r="C12" s="460" t="str">
        <f>IF(ISNUMBER(NºAsuntos!I12/NºAsuntos!G12),NºAsuntos!I12/NºAsuntos!G12," - ")</f>
        <v xml:space="preserve"> - </v>
      </c>
      <c r="D12" s="461" t="str">
        <f>IF(ISNUMBER('Resol  Asuntos'!D12/NºAsuntos!G12),'Resol  Asuntos'!D12/NºAsuntos!G12," - ")</f>
        <v xml:space="preserve"> - </v>
      </c>
      <c r="E12" s="462" t="str">
        <f>IF(ISNUMBER((NºAsuntos!C12+NºAsuntos!E12)/NºAsuntos!G12),(NºAsuntos!C12+NºAsuntos!E12)/NºAsuntos!G12," - ")</f>
        <v xml:space="preserve"> - </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0.99047186932849363</v>
      </c>
      <c r="C14" s="1006">
        <f>IF(ISNUMBER(NºAsuntos!I14/NºAsuntos!G14),NºAsuntos!I14/NºAsuntos!G14," - ")</f>
        <v>3.390975721484196</v>
      </c>
      <c r="D14" s="1007">
        <f>IF(ISNUMBER('Resol  Asuntos'!D14/NºAsuntos!G14),'Resol  Asuntos'!D14/NºAsuntos!G14," - ")</f>
        <v>0.18323408153916629</v>
      </c>
      <c r="E14" s="1008">
        <f>IF(ISNUMBER((NºAsuntos!C14+NºAsuntos!E14)/NºAsuntos!G14),(NºAsuntos!C14+NºAsuntos!E14)/NºAsuntos!G14," - ")</f>
        <v>4.390975721484196</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f>IF(ISNUMBER(NºAsuntos!G16/NºAsuntos!E16),NºAsuntos!G16/NºAsuntos!E16," - ")</f>
        <v>0.98050231328486448</v>
      </c>
      <c r="C16" s="460">
        <f>IF(ISNUMBER(NºAsuntos!I16/NºAsuntos!G16),NºAsuntos!I16/NºAsuntos!G16," - ")</f>
        <v>0.6038085608358611</v>
      </c>
      <c r="D16" s="461">
        <f>IF(ISNUMBER('Resol  Asuntos'!D16/NºAsuntos!G16),'Resol  Asuntos'!D16/NºAsuntos!G16," - ")</f>
        <v>6.8250758341759352E-2</v>
      </c>
      <c r="E16" s="462">
        <f>IF(ISNUMBER((NºAsuntos!C16+NºAsuntos!E16)/NºAsuntos!G16),(NºAsuntos!C16+NºAsuntos!E16)/NºAsuntos!G16," - ")</f>
        <v>1.6002696326255477</v>
      </c>
      <c r="G16" s="480"/>
    </row>
    <row r="17" spans="1:7">
      <c r="A17" s="414" t="str">
        <f>Datos!A17</f>
        <v xml:space="preserve">Jdos. 1ª Instª. e Instr.                        </v>
      </c>
      <c r="B17" s="459" t="str">
        <f>IF(ISNUMBER(NºAsuntos!G17/NºAsuntos!E17),NºAsuntos!G17/NºAsuntos!E17," - ")</f>
        <v xml:space="preserve"> - </v>
      </c>
      <c r="C17" s="460" t="str">
        <f>IF(ISNUMBER(NºAsuntos!I17/NºAsuntos!G17),NºAsuntos!I17/NºAsuntos!G17," - ")</f>
        <v xml:space="preserve"> - </v>
      </c>
      <c r="D17" s="461" t="str">
        <f>IF(ISNUMBER('Resol  Asuntos'!D17/NºAsuntos!G17),'Resol  Asuntos'!D17/NºAsuntos!G17," - ")</f>
        <v xml:space="preserve"> - </v>
      </c>
      <c r="E17" s="462" t="str">
        <f>IF(ISNUMBER((NºAsuntos!C17+NºAsuntos!E17)/NºAsuntos!G17),(NºAsuntos!C17+NºAsuntos!E17)/NºAsuntos!G17," - ")</f>
        <v xml:space="preserve"> - </v>
      </c>
      <c r="G17" s="480"/>
    </row>
    <row r="18" spans="1:7">
      <c r="A18" s="414" t="str">
        <f>Datos!A18</f>
        <v>Jdos. Violencia contra la mujer</v>
      </c>
      <c r="B18" s="459">
        <f>IF(ISNUMBER(NºAsuntos!G18/NºAsuntos!E18),NºAsuntos!G18/NºAsuntos!E18," - ")</f>
        <v>1.0989247311827957</v>
      </c>
      <c r="C18" s="460">
        <f>IF(ISNUMBER(NºAsuntos!I18/NºAsuntos!G18),NºAsuntos!I18/NºAsuntos!G18," - ")</f>
        <v>1.0802348336594911</v>
      </c>
      <c r="D18" s="461">
        <f>IF(ISNUMBER('Resol  Asuntos'!D18/NºAsuntos!G18),'Resol  Asuntos'!D18/NºAsuntos!G18," - ")</f>
        <v>1.3698630136986301E-2</v>
      </c>
      <c r="E18" s="462">
        <f>IF(ISNUMBER((NºAsuntos!C18+NºAsuntos!E18)/NºAsuntos!G18),(NºAsuntos!C18+NºAsuntos!E18)/NºAsuntos!G18," - ")</f>
        <v>2.0802348336594911</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0.98895197176615002</v>
      </c>
      <c r="C20" s="1006">
        <f>IF(ISNUMBER(NºAsuntos!I20/NºAsuntos!G20),NºAsuntos!I20/NºAsuntos!G20," - ")</f>
        <v>0.64158262218774242</v>
      </c>
      <c r="D20" s="1009">
        <f>IF(ISNUMBER('Resol  Asuntos'!D20/NºAsuntos!G20),'Resol  Asuntos'!D20/NºAsuntos!G20," - ")</f>
        <v>6.3925523661753303E-2</v>
      </c>
      <c r="E20" s="1008">
        <f>IF(ISNUMBER((NºAsuntos!C20+NºAsuntos!E20)/NºAsuntos!G20),(NºAsuntos!C20+NºAsuntos!E20)/NºAsuntos!G20," - ")</f>
        <v>1.6383242823894493</v>
      </c>
      <c r="G20" s="480"/>
    </row>
    <row r="21" spans="1:7" ht="15.75" customHeight="1" thickTop="1" thickBot="1">
      <c r="A21" s="940" t="str">
        <f>Datos!A21</f>
        <v>TOTAL JURISDICCIONES</v>
      </c>
      <c r="B21" s="955">
        <f>IF(ISNUMBER(NºAsuntos!G21/NºAsuntos!E21),NºAsuntos!G21/NºAsuntos!E21," - ")</f>
        <v>0.98956521739130432</v>
      </c>
      <c r="C21" s="956">
        <f>IF(ISNUMBER(NºAsuntos!I21/NºAsuntos!G21),NºAsuntos!I21/NºAsuntos!G21," - ")</f>
        <v>1.7519193414115253</v>
      </c>
      <c r="D21" s="957">
        <f>IF(ISNUMBER('Resol  Asuntos'!D21/NºAsuntos!G21),'Resol  Asuntos'!D21/NºAsuntos!G21," - ")</f>
        <v>0.11210803810933309</v>
      </c>
      <c r="E21" s="958">
        <f>IF(ISNUMBER((NºAsuntos!C21+NºAsuntos!E21)/NºAsuntos!G21),(NºAsuntos!C21+NºAsuntos!E21)/NºAsuntos!G21," - ")</f>
        <v>2.7499768754046805</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JJ+t7aa/aGeLy2Ad5ypWjIaJu9OSBDJ4rkDhiJBE2d9OjfI7wA40UB0PwtSlXzUStVdL9/FiODvx2Bm6XPbmcQ==" saltValue="qdDKzzIrpcU9FZjOWeVfSA=="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L'HOSPITALET DE LLOBREGAT</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8</v>
      </c>
      <c r="B9" s="182" t="s">
        <v>273</v>
      </c>
      <c r="C9" s="165" t="str">
        <f>Datos!A9</f>
        <v xml:space="preserve">Jdos. 1ª Instancia   </v>
      </c>
      <c r="D9" s="165"/>
      <c r="E9" s="1205">
        <f>IF(ISNUMBER(Datos!AQ9),Datos!AQ9," - ")</f>
        <v>8</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891</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f>IF(ISNUMBER(Datos!Q9),Datos!Q9," - ")</f>
        <v>1409</v>
      </c>
      <c r="Y9" s="344">
        <f>SUM(W9:X9)</f>
        <v>1409</v>
      </c>
      <c r="Z9" s="345" t="str">
        <f>IF(ISNUMBER(Datos!CC9),Datos!CC9," - ")</f>
        <v xml:space="preserve"> - </v>
      </c>
      <c r="AA9" s="342" t="str">
        <f>IF(ISNUMBER(IF(J_V="SI",Datos!L9,Datos!L9+Datos!AB9)-IF(Monitorios="SI",Datos!CD9,0)),
                          IF(J_V="SI",Datos!L9,Datos!L9+Datos!AB9)-IF(Monitorios="SI",Datos!CD9,0),
                          " - ")</f>
        <v xml:space="preserve"> - </v>
      </c>
      <c r="AB9" s="344">
        <f>IF(ISNUMBER(Datos!R9),Datos!R9," - ")</f>
        <v>13131</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f>IF(ISNUMBER(Datos!M9),Datos!M9," - ")</f>
        <v>778</v>
      </c>
      <c r="AJ9" s="234" t="str">
        <f>IF(ISNUMBER(Datos!BW9),Datos!BW9," - ")</f>
        <v xml:space="preserve"> - </v>
      </c>
      <c r="AK9" s="233" t="str">
        <f>IF(ISNUMBER(Datos!BX9),Datos!BX9," - ")</f>
        <v xml:space="preserve"> - </v>
      </c>
      <c r="AL9" s="248">
        <f>IF(ISNUMBER(NºAsuntos!G9/NºAsuntos!E9),NºAsuntos!G9/NºAsuntos!E9," - ")</f>
        <v>0.9921821108300759</v>
      </c>
      <c r="AM9" s="265">
        <f>IF(ISNUMBER(((NºAsuntos!I9/NºAsuntos!G9)*11)/factor_trimestre),((NºAsuntos!I9/NºAsuntos!G9)*11)/factor_trimestre," - ")</f>
        <v>10.154113557358054</v>
      </c>
      <c r="AN9" s="249">
        <f>IF(ISNUMBER('Resol  Asuntos'!D9/NºAsuntos!G9),'Resol  Asuntos'!D9/NºAsuntos!G9," - ")</f>
        <v>0.18030127462340673</v>
      </c>
      <c r="AO9" s="250">
        <f>IF(ISNUMBER((NºAsuntos!C9+NºAsuntos!E9)/NºAsuntos!G9),(NºAsuntos!C9+NºAsuntos!E9)/NºAsuntos!G9," - ")</f>
        <v>4.3847045191193512</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1</v>
      </c>
      <c r="F10" s="230">
        <f>IF(ISNUMBER(Datos!L10+Datos!K10-Datos!J10-K10),Datos!L10+Datos!K10-Datos!J10-K10," - ")</f>
        <v>192</v>
      </c>
      <c r="G10" s="343">
        <f>IF(ISNUMBER(Datos!I10),Datos!I10," - ")</f>
        <v>192</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6</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51</v>
      </c>
      <c r="X10" s="231">
        <f>IF(ISNUMBER(Datos!Q10),Datos!Q10," - ")</f>
        <v>7</v>
      </c>
      <c r="Y10" s="344">
        <f t="shared" ref="Y10:Y13" si="0">SUM(W10:X10)</f>
        <v>58</v>
      </c>
      <c r="Z10" s="345" t="str">
        <f>IF(ISNUMBER(Datos!CC10),Datos!CC10," - ")</f>
        <v xml:space="preserve"> - </v>
      </c>
      <c r="AA10" s="342">
        <f>IF(ISNUMBER(Datos!L10),Datos!L10,"-")</f>
        <v>200</v>
      </c>
      <c r="AB10" s="344">
        <f>IF(ISNUMBER(Datos!R10),Datos!R10," - ")</f>
        <v>152</v>
      </c>
      <c r="AC10" s="344">
        <f t="shared" ref="AC10:AC13" si="1">IF(ISNUMBER(AA10+AB10),AA10+AB10," - ")</f>
        <v>352</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22</v>
      </c>
      <c r="AJ10" s="236" t="str">
        <f>IF(ISNUMBER(Datos!BW10),Datos!BW10," - ")</f>
        <v xml:space="preserve"> - </v>
      </c>
      <c r="AK10" s="237" t="str">
        <f>IF(ISNUMBER(Datos!BX10),Datos!BX10," - ")</f>
        <v xml:space="preserve"> - </v>
      </c>
      <c r="AL10" s="248">
        <f>IF(ISNUMBER(NºAsuntos!G10/NºAsuntos!E10),NºAsuntos!G10/NºAsuntos!E10," - ")</f>
        <v>0.86440677966101698</v>
      </c>
      <c r="AM10" s="265">
        <f>IF(ISNUMBER(((NºAsuntos!I10/NºAsuntos!G10)*11)/factor_trimestre),((NºAsuntos!I10/NºAsuntos!G10)*11)/factor_trimestre," - ")</f>
        <v>11.76470588235294</v>
      </c>
      <c r="AN10" s="249">
        <f>IF(ISNUMBER('Resol  Asuntos'!D10/NºAsuntos!G10),'Resol  Asuntos'!D10/NºAsuntos!G10," - ")</f>
        <v>0.43137254901960786</v>
      </c>
      <c r="AO10" s="250">
        <f>IF(ISNUMBER((NºAsuntos!C10+NºAsuntos!E10)/NºAsuntos!G10),(NºAsuntos!C10+NºAsuntos!E10)/NºAsuntos!G10," - ")</f>
        <v>4.9215686274509807</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0</v>
      </c>
      <c r="B12" s="280" t="s">
        <v>273</v>
      </c>
      <c r="C12" s="7" t="str">
        <f>Datos!A12</f>
        <v xml:space="preserve">Jdos. 1ª Instª. e Instr.                        </v>
      </c>
      <c r="D12" s="7"/>
      <c r="E12" s="1205">
        <f>IF(ISNUMBER(Datos!AQ12),Datos!AQ12," - ")</f>
        <v>0</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t="str">
        <f>IF(ISNUMBER(Datos!Q12),Datos!Q12," - ")</f>
        <v xml:space="preserve"> - </v>
      </c>
      <c r="Y12" s="344">
        <f t="shared" si="0"/>
        <v>0</v>
      </c>
      <c r="Z12" s="345" t="str">
        <f>IF(ISNUMBER(Datos!CC12),Datos!CC12," - ")</f>
        <v xml:space="preserve"> - </v>
      </c>
      <c r="AA12" s="342" t="str">
        <f>IF(ISNUMBER(IF(J_V="SI",Datos!L12,Datos!L12+Datos!AB12)-IF(Monitorios="SI",Datos!CD12,0)),
                          IF(J_V="SI",Datos!L12,Datos!L12+Datos!AB12)-IF(Monitorios="SI",Datos!CD12,0),
                          " - ")</f>
        <v xml:space="preserve"> - </v>
      </c>
      <c r="AB12" s="344" t="str">
        <f>IF(ISNUMBER(Datos!R12),Datos!R12," - ")</f>
        <v xml:space="preserve"> - </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t="str">
        <f>IF(ISNUMBER(Datos!M12),Datos!M12," - ")</f>
        <v xml:space="preserve"> - </v>
      </c>
      <c r="AJ12" s="234" t="str">
        <f>IF(ISNUMBER(Datos!BW12),Datos!BW12," - ")</f>
        <v xml:space="preserve"> - </v>
      </c>
      <c r="AK12" s="233" t="str">
        <f>IF(ISNUMBER(Datos!BX12),Datos!BX12," - ")</f>
        <v xml:space="preserve"> - </v>
      </c>
      <c r="AL12" s="248" t="str">
        <f>IF(ISNUMBER(NºAsuntos!G12/NºAsuntos!E12),NºAsuntos!G12/NºAsuntos!E12," - ")</f>
        <v xml:space="preserve"> - </v>
      </c>
      <c r="AM12" s="265" t="str">
        <f>IF(ISNUMBER(((NºAsuntos!I12/NºAsuntos!G12)*11)/factor_trimestre),((NºAsuntos!I12/NºAsuntos!G12)*11)/factor_trimestre," - ")</f>
        <v xml:space="preserve"> - </v>
      </c>
      <c r="AN12" s="249" t="str">
        <f>IF(ISNUMBER('Resol  Asuntos'!D12/NºAsuntos!G12),'Resol  Asuntos'!D12/NºAsuntos!G12," - ")</f>
        <v xml:space="preserve"> - </v>
      </c>
      <c r="AO12" s="250" t="str">
        <f>IF(ISNUMBER((NºAsuntos!C12+NºAsuntos!E12)/NºAsuntos!G12),(NºAsuntos!C12+NºAsuntos!E12)/NºAsuntos!G12," - ")</f>
        <v xml:space="preserve"> - </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9</v>
      </c>
      <c r="F14" s="1012">
        <f t="shared" si="5"/>
        <v>192</v>
      </c>
      <c r="G14" s="1013">
        <f t="shared" si="5"/>
        <v>192</v>
      </c>
      <c r="H14" s="1012">
        <f t="shared" si="5"/>
        <v>0</v>
      </c>
      <c r="I14" s="1014">
        <f t="shared" si="5"/>
        <v>0</v>
      </c>
      <c r="J14" s="1014">
        <f t="shared" si="5"/>
        <v>0</v>
      </c>
      <c r="K14" s="1014">
        <f t="shared" si="5"/>
        <v>0</v>
      </c>
      <c r="L14" s="1014">
        <f t="shared" si="5"/>
        <v>897</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51</v>
      </c>
      <c r="X14" s="1014">
        <f t="shared" si="6"/>
        <v>1416</v>
      </c>
      <c r="Y14" s="1015">
        <f t="shared" si="6"/>
        <v>1467</v>
      </c>
      <c r="Z14" s="1015">
        <f t="shared" si="6"/>
        <v>0</v>
      </c>
      <c r="AA14" s="1015">
        <f t="shared" si="6"/>
        <v>200</v>
      </c>
      <c r="AB14" s="1015">
        <f t="shared" si="6"/>
        <v>13283</v>
      </c>
      <c r="AC14" s="1015">
        <f t="shared" si="6"/>
        <v>352</v>
      </c>
      <c r="AD14" s="1015">
        <f t="shared" si="6"/>
        <v>0</v>
      </c>
      <c r="AE14" s="1019">
        <f t="shared" si="6"/>
        <v>0</v>
      </c>
      <c r="AF14" s="1012">
        <f t="shared" si="6"/>
        <v>0</v>
      </c>
      <c r="AG14" s="1020">
        <f t="shared" si="6"/>
        <v>0</v>
      </c>
      <c r="AH14" s="1017">
        <f t="shared" si="6"/>
        <v>0</v>
      </c>
      <c r="AI14" s="1012">
        <f t="shared" si="6"/>
        <v>800</v>
      </c>
      <c r="AJ14" s="1014">
        <f t="shared" si="6"/>
        <v>0</v>
      </c>
      <c r="AK14" s="1017">
        <f>SUBTOTAL(9,AK9:AK13)</f>
        <v>0</v>
      </c>
      <c r="AL14" s="1021">
        <f>IF(ISNUMBER(NºAsuntos!G14/NºAsuntos!E14),NºAsuntos!G14/NºAsuntos!E14," - ")</f>
        <v>0.99047186932849363</v>
      </c>
      <c r="AM14" s="1021">
        <f>IF(ISNUMBER(((NºAsuntos!I14/NºAsuntos!G14)*11)/factor_trimestre),((NºAsuntos!I14/NºAsuntos!G14)*11)/factor_trimestre," - ")</f>
        <v>10.172927164452588</v>
      </c>
      <c r="AN14" s="1022">
        <f>IF(ISNUMBER('Resol  Asuntos'!D14/NºAsuntos!G14),'Resol  Asuntos'!D14/NºAsuntos!G14," - ")</f>
        <v>0.18323408153916629</v>
      </c>
      <c r="AO14" s="1023">
        <f>IF(ISNUMBER((NºAsuntos!C14+NºAsuntos!E14)/NºAsuntos!G14),(NºAsuntos!C14+NºAsuntos!E14)/NºAsuntos!G14," - ")</f>
        <v>4.390975721484196</v>
      </c>
      <c r="AP14" s="1024" t="str">
        <f t="shared" si="2"/>
        <v xml:space="preserve"> - </v>
      </c>
      <c r="AQ14" s="1024">
        <f>IF(ISNUMBER((H14-W14+K14)/(F14)),(H14-W14+K14)/(F14)," - ")</f>
        <v>-0.265625</v>
      </c>
      <c r="AR14" s="1025">
        <f>IF(ISNUMBER((Datos!P14-Datos!Q14)/(Datos!R14-Datos!P14+Datos!Q14)),(Datos!P14-Datos!Q14)/(Datos!R14-Datos!P14+Datos!Q14)," - ")</f>
        <v>-3.760324590639038E-2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5</v>
      </c>
      <c r="B16" s="280" t="s">
        <v>437</v>
      </c>
      <c r="C16" s="165" t="str">
        <f>Datos!A16</f>
        <v xml:space="preserve">Jdos. Instrucción                               </v>
      </c>
      <c r="D16" s="165"/>
      <c r="E16" s="1205">
        <f>IF(ISNUMBER(Datos!AQ16),Datos!AQ16," - ")</f>
        <v>5</v>
      </c>
      <c r="F16" s="230">
        <f>IF(ISNUMBER(AA16+W16-Datos!J16-K16),AA16+W16-Datos!J16-K16," - ")</f>
        <v>3465</v>
      </c>
      <c r="G16" s="343">
        <f>IF(ISNUMBER(IF(D_I="SI",Datos!I16,Datos!I16+Datos!AC16)),IF(D_I="SI",Datos!I16,Datos!I16+Datos!AC16)," - ")</f>
        <v>3444</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232</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f>IF(ISNUMBER(IF(D_I="SI",Datos!K16,Datos!K16+Datos!AE16)),IF(D_I="SI",Datos!K16,Datos!K16+Datos!AE16)," - ")</f>
        <v>5934</v>
      </c>
      <c r="X16" s="231">
        <f>IF(ISNUMBER(Datos!Q16),Datos!Q16," - ")</f>
        <v>223</v>
      </c>
      <c r="Y16" s="344">
        <f>SUM(W16)</f>
        <v>5934</v>
      </c>
      <c r="Z16" s="345" t="str">
        <f>IF(ISNUMBER(Datos!CC16),Datos!CC16," - ")</f>
        <v xml:space="preserve"> - </v>
      </c>
      <c r="AA16" s="342">
        <f>IF(ISNUMBER(IF(D_I="SI",Datos!L16,Datos!L16+Datos!AF16)),IF(D_I="SI",Datos!L16,Datos!L16+Datos!AF16)," - ")</f>
        <v>3583</v>
      </c>
      <c r="AB16" s="344">
        <f>IF(ISNUMBER(Datos!R16),Datos!R16," - ")</f>
        <v>455</v>
      </c>
      <c r="AC16" s="344">
        <f t="shared" ref="AC16:AC19" si="8">IF(ISNUMBER(AA16+AB16),AA16+AB16," - ")</f>
        <v>4038</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f>IF(ISNUMBER(Datos!M16),Datos!M16," - ")</f>
        <v>405</v>
      </c>
      <c r="AJ16" s="236" t="str">
        <f>IF(ISNUMBER(Datos!BW16),Datos!BW16," - ")</f>
        <v xml:space="preserve"> - </v>
      </c>
      <c r="AK16" s="237" t="str">
        <f>IF(ISNUMBER(Datos!BX16),Datos!BX16," - ")</f>
        <v xml:space="preserve"> - </v>
      </c>
      <c r="AL16" s="248">
        <f>IF(ISNUMBER(NºAsuntos!G16/NºAsuntos!E16),NºAsuntos!G16/NºAsuntos!E16," - ")</f>
        <v>0.98050231328486448</v>
      </c>
      <c r="AM16" s="265">
        <f>IF(ISNUMBER(((NºAsuntos!I16/NºAsuntos!G16)*11)/factor_trimestre),((NºAsuntos!I16/NºAsuntos!G16)*11)/factor_trimestre," - ")</f>
        <v>1.8114256825075834</v>
      </c>
      <c r="AN16" s="249">
        <f>IF(ISNUMBER('Resol  Asuntos'!D16/NºAsuntos!G16),'Resol  Asuntos'!D16/NºAsuntos!G16," - ")</f>
        <v>6.8250758341759352E-2</v>
      </c>
      <c r="AO16" s="250">
        <f>IF(ISNUMBER((NºAsuntos!C16+NºAsuntos!E16)/NºAsuntos!G16),(NºAsuntos!C16+NºAsuntos!E16)/NºAsuntos!G16," - ")</f>
        <v>1.6002696326255477</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0</v>
      </c>
      <c r="B17" s="280" t="s">
        <v>437</v>
      </c>
      <c r="C17" s="165" t="str">
        <f>Datos!A17</f>
        <v xml:space="preserve">Jdos. 1ª Instª. e Instr.                        </v>
      </c>
      <c r="D17" s="165"/>
      <c r="E17" s="1205">
        <f>IF(ISNUMBER(Datos!AQ17),Datos!AQ17," - ")</f>
        <v>0</v>
      </c>
      <c r="F17" s="230" t="str">
        <f>IF(ISNUMBER(AA17+W17-Datos!J17-K17),AA17+W17-Datos!J17-K17," - ")</f>
        <v xml:space="preserve"> - </v>
      </c>
      <c r="G17" s="343" t="str">
        <f>IF(ISNUMBER(IF(D_I="SI",Datos!I17,Datos!I17+Datos!AC17)),IF(D_I="SI",Datos!I17,Datos!I17+Datos!AC17)," - ")</f>
        <v xml:space="preserve"> - </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0</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t="str">
        <f>IF(ISNUMBER(IF(D_I="SI",Datos!K17,Datos!K17+Datos!AE17)),IF(D_I="SI",Datos!K17,Datos!K17+Datos!AE17)," - ")</f>
        <v xml:space="preserve"> - </v>
      </c>
      <c r="X17" s="231" t="str">
        <f>IF(ISNUMBER(Datos!Q17),Datos!Q17," - ")</f>
        <v xml:space="preserve"> - </v>
      </c>
      <c r="Y17" s="344">
        <f t="shared" ref="Y17:Y19" si="9">SUM(W17:X17)</f>
        <v>0</v>
      </c>
      <c r="Z17" s="345" t="str">
        <f>IF(ISNUMBER(Datos!CC17),Datos!CC17," - ")</f>
        <v xml:space="preserve"> - </v>
      </c>
      <c r="AA17" s="342" t="str">
        <f>IF(ISNUMBER(IF(D_I="SI",Datos!L17,Datos!L17+Datos!AF17)),IF(D_I="SI",Datos!L17,Datos!L17+Datos!AF17)," - ")</f>
        <v xml:space="preserve"> - </v>
      </c>
      <c r="AB17" s="344" t="str">
        <f>IF(ISNUMBER(Datos!R17),Datos!R17," - ")</f>
        <v xml:space="preserve"> - </v>
      </c>
      <c r="AC17" s="344" t="str">
        <f t="shared" si="8"/>
        <v xml:space="preserve"> - </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t="str">
        <f>IF(ISNUMBER(Datos!M17),Datos!M17," - ")</f>
        <v xml:space="preserve"> - </v>
      </c>
      <c r="AJ17" s="236" t="str">
        <f>IF(ISNUMBER(Datos!BW17),Datos!BW17," - ")</f>
        <v xml:space="preserve"> - </v>
      </c>
      <c r="AK17" s="237" t="str">
        <f>IF(ISNUMBER(Datos!BX17),Datos!BX17," - ")</f>
        <v xml:space="preserve"> - </v>
      </c>
      <c r="AL17" s="248" t="str">
        <f>IF(ISNUMBER(NºAsuntos!G17/NºAsuntos!E17),NºAsuntos!G17/NºAsuntos!E17," - ")</f>
        <v xml:space="preserve"> - </v>
      </c>
      <c r="AM17" s="265" t="str">
        <f>IF(ISNUMBER(((NºAsuntos!I17/NºAsuntos!G17)*11)/factor_trimestre),((NºAsuntos!I17/NºAsuntos!G17)*11)/factor_trimestre," - ")</f>
        <v xml:space="preserve"> - </v>
      </c>
      <c r="AN17" s="249" t="str">
        <f>IF(ISNUMBER('Resol  Asuntos'!D17/NºAsuntos!G17),'Resol  Asuntos'!D17/NºAsuntos!G17," - ")</f>
        <v xml:space="preserve"> - </v>
      </c>
      <c r="AO17" s="250" t="str">
        <f>IF(ISNUMBER((NºAsuntos!C17+NºAsuntos!E17)/NºAsuntos!G17),(NºAsuntos!C17+NºAsuntos!E17)/NºAsuntos!G17," - ")</f>
        <v xml:space="preserve"> - </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1</v>
      </c>
      <c r="F18" s="230" t="str">
        <f>IF(ISNUMBER(AA18+W18-H18-K18),AA18+W18-H18-K18," - ")</f>
        <v xml:space="preserve"> - </v>
      </c>
      <c r="G18" s="343">
        <f>IF(ISNUMBER(IF(D_I="SI",Datos!I18,Datos!I18+Datos!AC18)),IF(D_I="SI",Datos!I18,Datos!I18+Datos!AC18)," - ")</f>
        <v>598</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2</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511</v>
      </c>
      <c r="X18" s="231">
        <f>IF(ISNUMBER(Datos!Q18),Datos!Q18," - ")</f>
        <v>2</v>
      </c>
      <c r="Y18" s="344">
        <f t="shared" si="9"/>
        <v>513</v>
      </c>
      <c r="Z18" s="345" t="str">
        <f>IF(ISNUMBER(Datos!CC18),Datos!CC18," - ")</f>
        <v xml:space="preserve"> - </v>
      </c>
      <c r="AA18" s="342">
        <f>IF(ISNUMBER(Datos!L18),Datos!L18,"-")</f>
        <v>552</v>
      </c>
      <c r="AB18" s="344">
        <f>IF(ISNUMBER(Datos!R18),Datos!R18," - ")</f>
        <v>0</v>
      </c>
      <c r="AC18" s="344">
        <f t="shared" si="8"/>
        <v>552</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7</v>
      </c>
      <c r="AJ18" s="236" t="str">
        <f>IF(ISNUMBER(Datos!BW18),Datos!BW18," - ")</f>
        <v xml:space="preserve"> - </v>
      </c>
      <c r="AK18" s="237" t="str">
        <f>IF(ISNUMBER(Datos!BX18),Datos!BX18," - ")</f>
        <v xml:space="preserve"> - </v>
      </c>
      <c r="AL18" s="248">
        <f>IF(ISNUMBER(NºAsuntos!G18/NºAsuntos!E18),NºAsuntos!G18/NºAsuntos!E18," - ")</f>
        <v>1.0989247311827957</v>
      </c>
      <c r="AM18" s="265">
        <f>IF(ISNUMBER(((NºAsuntos!I18/NºAsuntos!G18)*11)/factor_trimestre),((NºAsuntos!I18/NºAsuntos!G18)*11)/factor_trimestre," - ")</f>
        <v>3.2407045009784738</v>
      </c>
      <c r="AN18" s="249">
        <f>IF(ISNUMBER('Resol  Asuntos'!D18/NºAsuntos!G18),'Resol  Asuntos'!D18/NºAsuntos!G18," - ")</f>
        <v>1.3698630136986301E-2</v>
      </c>
      <c r="AO18" s="250">
        <f>IF(ISNUMBER((NºAsuntos!C18+NºAsuntos!E18)/NºAsuntos!G18),(NºAsuntos!C18+NºAsuntos!E18)/NºAsuntos!G18," - ")</f>
        <v>2.0802348336594911</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6</v>
      </c>
      <c r="F20" s="1012">
        <f>SUBTOTAL(9,F15:F19)</f>
        <v>3465</v>
      </c>
      <c r="G20" s="1013">
        <f>SUBTOTAL(9,G16:G19)</f>
        <v>4042</v>
      </c>
      <c r="H20" s="1012">
        <f t="shared" ref="H20:O20" si="12">SUBTOTAL(9,H15:H19)</f>
        <v>0</v>
      </c>
      <c r="I20" s="1014">
        <f t="shared" si="12"/>
        <v>0</v>
      </c>
      <c r="J20" s="1014">
        <f t="shared" si="12"/>
        <v>0</v>
      </c>
      <c r="K20" s="1014">
        <f t="shared" si="12"/>
        <v>0</v>
      </c>
      <c r="L20" s="1014">
        <f t="shared" si="12"/>
        <v>234</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6445</v>
      </c>
      <c r="X20" s="1014">
        <f t="shared" si="13"/>
        <v>225</v>
      </c>
      <c r="Y20" s="1015">
        <f t="shared" si="13"/>
        <v>6447</v>
      </c>
      <c r="Z20" s="1015">
        <f t="shared" si="13"/>
        <v>0</v>
      </c>
      <c r="AA20" s="1015">
        <f t="shared" si="13"/>
        <v>4135</v>
      </c>
      <c r="AB20" s="1015">
        <f t="shared" si="13"/>
        <v>455</v>
      </c>
      <c r="AC20" s="1015">
        <f t="shared" si="13"/>
        <v>4590</v>
      </c>
      <c r="AD20" s="1015">
        <f t="shared" si="13"/>
        <v>0</v>
      </c>
      <c r="AE20" s="1019">
        <f t="shared" si="13"/>
        <v>0</v>
      </c>
      <c r="AF20" s="1012">
        <f t="shared" si="13"/>
        <v>0</v>
      </c>
      <c r="AG20" s="1020">
        <f t="shared" si="13"/>
        <v>0</v>
      </c>
      <c r="AH20" s="1017">
        <f t="shared" si="13"/>
        <v>0</v>
      </c>
      <c r="AI20" s="1012">
        <f t="shared" si="13"/>
        <v>412</v>
      </c>
      <c r="AJ20" s="1014">
        <f t="shared" si="13"/>
        <v>0</v>
      </c>
      <c r="AK20" s="1017">
        <f t="shared" si="13"/>
        <v>0</v>
      </c>
      <c r="AL20" s="1021">
        <f>IF(ISNUMBER(NºAsuntos!G20/NºAsuntos!E20),NºAsuntos!G20/NºAsuntos!E20," - ")</f>
        <v>0.98895197176615002</v>
      </c>
      <c r="AM20" s="1021">
        <f>IF(ISNUMBER(((NºAsuntos!I20/NºAsuntos!G20)*11)/factor_trimestre),((NºAsuntos!I20/NºAsuntos!G20)*11)/factor_trimestre," - ")</f>
        <v>1.9247478665632274</v>
      </c>
      <c r="AN20" s="1022">
        <f>IF(ISNUMBER('Resol  Asuntos'!D20/NºAsuntos!G20),'Resol  Asuntos'!D20/NºAsuntos!G20," - ")</f>
        <v>6.3925523661753303E-2</v>
      </c>
      <c r="AO20" s="1023">
        <f>IF(ISNUMBER((NºAsuntos!C20+NºAsuntos!E20)/NºAsuntos!G20),(NºAsuntos!C20+NºAsuntos!E20)/NºAsuntos!G20," - ")</f>
        <v>1.6383242823894493</v>
      </c>
      <c r="AP20" s="1024" t="str">
        <f t="shared" si="2"/>
        <v xml:space="preserve"> - </v>
      </c>
      <c r="AQ20" s="1024">
        <f>IF(ISNUMBER((H20-W20+K20)/(F20)),(H20-W20+K20)/(F20)," - ")</f>
        <v>-1.8600288600288599</v>
      </c>
      <c r="AR20" s="1025">
        <f>IF(ISNUMBER((Datos!P20-Datos!Q20)/(Datos!R20-Datos!P20+Datos!Q20)),(Datos!P20-Datos!Q20)/(Datos!R20-Datos!P20+Datos!Q20)," - ")</f>
        <v>2.0179372197309416E-2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15</v>
      </c>
      <c r="F21" s="967">
        <f t="shared" si="15"/>
        <v>3657</v>
      </c>
      <c r="G21" s="968">
        <f t="shared" si="15"/>
        <v>4234</v>
      </c>
      <c r="H21" s="967">
        <f t="shared" si="15"/>
        <v>0</v>
      </c>
      <c r="I21" s="969">
        <f t="shared" si="15"/>
        <v>0</v>
      </c>
      <c r="J21" s="969">
        <f t="shared" si="15"/>
        <v>0</v>
      </c>
      <c r="K21" s="1028">
        <f t="shared" si="15"/>
        <v>0</v>
      </c>
      <c r="L21" s="969">
        <f t="shared" si="15"/>
        <v>1131</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6496</v>
      </c>
      <c r="X21" s="968">
        <f t="shared" si="16"/>
        <v>1641</v>
      </c>
      <c r="Y21" s="975">
        <f t="shared" si="16"/>
        <v>7914</v>
      </c>
      <c r="Z21" s="975">
        <f t="shared" si="16"/>
        <v>0</v>
      </c>
      <c r="AA21" s="975">
        <f t="shared" si="16"/>
        <v>4335</v>
      </c>
      <c r="AB21" s="975">
        <f t="shared" si="16"/>
        <v>13738</v>
      </c>
      <c r="AC21" s="975">
        <f t="shared" si="16"/>
        <v>4942</v>
      </c>
      <c r="AD21" s="975">
        <f t="shared" si="16"/>
        <v>0</v>
      </c>
      <c r="AE21" s="977">
        <f t="shared" si="16"/>
        <v>0</v>
      </c>
      <c r="AF21" s="978">
        <f t="shared" si="16"/>
        <v>0</v>
      </c>
      <c r="AG21" s="979">
        <f t="shared" si="16"/>
        <v>0</v>
      </c>
      <c r="AH21" s="977">
        <f t="shared" si="16"/>
        <v>0</v>
      </c>
      <c r="AI21" s="967">
        <f t="shared" si="16"/>
        <v>1212</v>
      </c>
      <c r="AJ21" s="967">
        <f t="shared" si="16"/>
        <v>0</v>
      </c>
      <c r="AK21" s="977">
        <f t="shared" si="16"/>
        <v>0</v>
      </c>
      <c r="AL21" s="1031">
        <f>IF(ISNUMBER(NºAsuntos!G21/NºAsuntos!E21),NºAsuntos!G21/NºAsuntos!E21," - ")</f>
        <v>0.98956521739130432</v>
      </c>
      <c r="AM21" s="1032">
        <f>IF(ISNUMBER(((NºAsuntos!I21/NºAsuntos!G21)*11)/factor_trimestre),((NºAsuntos!I21/NºAsuntos!G21)*11)/factor_trimestre," - ")</f>
        <v>5.2557580242345763</v>
      </c>
      <c r="AN21" s="1032">
        <f>IF(ISNUMBER('Resol  Asuntos'!D21/NºAsuntos!G21),'Resol  Asuntos'!D21/NºAsuntos!G21," - ")</f>
        <v>0.11210803810933309</v>
      </c>
      <c r="AO21" s="1033">
        <f>IF(ISNUMBER((NºAsuntos!C21+NºAsuntos!E21)/NºAsuntos!G21),(NºAsuntos!C21+NºAsuntos!E21)/NºAsuntos!G21," - ")</f>
        <v>2.7499768754046805</v>
      </c>
      <c r="AP21" s="1034" t="str">
        <f t="shared" si="2"/>
        <v xml:space="preserve"> - </v>
      </c>
      <c r="AQ21" s="1035">
        <f>IF(OR(ISNUMBER(FIND("01",Criterios!A8,1)),ISNUMBER(FIND("02",Criterios!A8,1)),ISNUMBER(FIND("03",Criterios!A8,1)),ISNUMBER(FIND("04",Criterios!A8,1))),(I21-W21+K21)/(F21-K21),(H21-W21+K21)/(F21-K21))</f>
        <v>-1.7763193874760732</v>
      </c>
      <c r="AR21" s="1036">
        <f>IF(ISNUMBER((Datos!P21-Datos!Q21)/(Datos!R21-Datos!P21+Datos!Q21)),(Datos!P21-Datos!Q21)/(Datos!R21-Datos!P21+Datos!Q21)," - ")</f>
        <v>-3.5794497473329592E-2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1693.6</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3.5522080201167583</v>
      </c>
      <c r="F23" s="257">
        <f>IF(ISNUMBER(STDEV(F8:F20)),STDEV(F8:F20),"-")</f>
        <v>1889.6674310576452</v>
      </c>
      <c r="G23" s="258">
        <f>IF(ISNUMBER(STDEV(G8:G20)),STDEV(G8:G20),"-")</f>
        <v>1890.0282537570702</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3288.5517785189272</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346.49386718959397</v>
      </c>
      <c r="AJ23" s="257">
        <f t="shared" si="20"/>
        <v>0</v>
      </c>
      <c r="AK23" s="259">
        <f t="shared" si="20"/>
        <v>0</v>
      </c>
      <c r="AL23" s="254">
        <f t="shared" si="20"/>
        <v>7.4342462486475566E-2</v>
      </c>
      <c r="AM23" s="255">
        <f t="shared" si="20"/>
        <v>4.649687115230547</v>
      </c>
      <c r="AN23" s="255">
        <f t="shared" si="20"/>
        <v>0.15072212432930063</v>
      </c>
      <c r="AO23" s="256">
        <f t="shared" si="20"/>
        <v>1.5512543905920846</v>
      </c>
      <c r="AP23" s="296" t="str">
        <f t="shared" si="20"/>
        <v>-</v>
      </c>
      <c r="AQ23" s="297">
        <f t="shared" si="20"/>
        <v>1.1274137813764138</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qWQ9JSEBTuCqiO2bnR2WUVq5zXoTHjnrCsk7EumQzqwrZTz2MYu3McyZg666JsiSPPdBYMLM3kMywnZcOq0pRg==" saltValue="oXb2N85L9rzWdg8Hc7k6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L'HOSPITALET DE LLOBREGAT</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f>IF(ISNUMBER((Datos!M9-Datos!W9)/Datos!W9),(Datos!M9-Datos!W9)/Datos!W9," - ")</f>
        <v>4.9932523616734142E-2</v>
      </c>
      <c r="I9" s="360">
        <f>IF(ISNUMBER((Tasas!C9-Datos!BE9)/Datos!BE9),(Tasas!C9-Datos!BE9)/Datos!BE9," - ")</f>
        <v>-4.2232083672777455E-2</v>
      </c>
      <c r="J9" s="359">
        <f>IF(ISNUMBER((Tasas!D9-Datos!BF9)/Datos!BF9),(Tasas!D9-Datos!BF9)/Datos!BF9," - ")</f>
        <v>-0.60721653865658831</v>
      </c>
      <c r="K9" s="361">
        <f>IF(ISNUMBER((Tasas!E9-Datos!BG9)/Datos!BG9),(Tasas!E9-Datos!BG9)/Datos!BG9," - ")</f>
        <v>-2.8951288998858616E-2</v>
      </c>
      <c r="M9" t="e">
        <f>IF(Monitorios="SI",Datos!CE9,0)</f>
        <v>#REF!</v>
      </c>
      <c r="N9" t="e">
        <f>IF(Monitorios="SI",Datos!CF9,0)</f>
        <v>#REF!</v>
      </c>
      <c r="O9" t="e">
        <f>IF(Monitorios="SI",Datos!CG9,0)</f>
        <v>#REF!</v>
      </c>
      <c r="P9" t="e">
        <f>IF(Monitorios="SI",Datos!CH9,0)</f>
        <v>#REF!</v>
      </c>
      <c r="Q9">
        <f>IF(J_V="SI",0,Datos!AG9)</f>
        <v>251</v>
      </c>
      <c r="R9">
        <f>IF(J_V="SI",0,Datos!AH9)</f>
        <v>287</v>
      </c>
      <c r="S9">
        <f>IF(J_V="SI",0,Datos!AI9)</f>
        <v>302</v>
      </c>
      <c r="T9">
        <f>IF(J_V="SI",0,Datos!AJ9)</f>
        <v>236</v>
      </c>
    </row>
    <row r="10" spans="2:20" ht="14.25">
      <c r="B10" s="280" t="s">
        <v>273</v>
      </c>
      <c r="C10" s="7" t="str">
        <f>Datos!A10</f>
        <v>Jdos. Violencia contra la mujer</v>
      </c>
      <c r="D10" s="362">
        <f>IF(ISNUMBER((Datos!I10-Datos!S10)/Datos!S10),(Datos!I10-Datos!S10)/Datos!S10," - ")</f>
        <v>0.352112676056338</v>
      </c>
      <c r="E10" s="358">
        <f>IF(ISNUMBER((Datos!J10-Datos!T10)/Datos!T10),(Datos!J10-Datos!T10)/Datos!T10," - ")</f>
        <v>5.3571428571428568E-2</v>
      </c>
      <c r="F10" s="358">
        <f>IF(ISNUMBER((Datos!K10-Datos!U10)/Datos!U10),(Datos!K10-Datos!U10)/Datos!U10," - ")</f>
        <v>0.59375</v>
      </c>
      <c r="G10" s="359">
        <f>IF(ISNUMBER((Datos!L10-Datos!V10)/Datos!V10),(Datos!L10-Datos!V10)/Datos!V10," - ")</f>
        <v>0.20481927710843373</v>
      </c>
      <c r="H10" s="235">
        <f>IF(ISNUMBER((Datos!M10-Datos!W10)/Datos!W10),(Datos!M10-Datos!W10)/Datos!W10," - ")</f>
        <v>1</v>
      </c>
      <c r="I10" s="360">
        <f>IF(ISNUMBER((Tasas!C10-Datos!BE10)/Datos!BE10),(Tasas!C10-Datos!BE10)/Datos!BE10," - ")</f>
        <v>-0.24403496338294356</v>
      </c>
      <c r="J10" s="359">
        <f>IF(ISNUMBER((Tasas!D10-Datos!BF10)/Datos!BF10),(Tasas!D10-Datos!BF10)/Datos!BF10," - ")</f>
        <v>0.25490196078431376</v>
      </c>
      <c r="K10" s="361">
        <f>IF(ISNUMBER((Tasas!E10-Datos!BG10)/Datos!BG10),(Tasas!E10-Datos!BG10)/Datos!BG10," - ")</f>
        <v>-0.20459496930085161</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t="str">
        <f>IF(ISNUMBER((Datos!M12-Datos!W12)/Datos!W12),(Datos!M12-Datos!W12)/Datos!W12," - ")</f>
        <v xml:space="preserve"> - </v>
      </c>
      <c r="I12" s="360" t="str">
        <f>IF(ISNUMBER((Tasas!C12-Datos!BE12)/Datos!BE12),(Tasas!C12-Datos!BE12)/Datos!BE12," - ")</f>
        <v xml:space="preserve"> - </v>
      </c>
      <c r="J12" s="359" t="str">
        <f>IF(ISNUMBER((Tasas!D12-Datos!BF12)/Datos!BF12),(Tasas!D12-Datos!BF12)/Datos!BF12," - ")</f>
        <v xml:space="preserve"> - </v>
      </c>
      <c r="K12" s="36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6.3829787234042548E-2</v>
      </c>
      <c r="I14" s="367">
        <f>IF(ISNUMBER((Tasas!C14-Datos!BE14)/Datos!BE14),(Tasas!C14-Datos!BE14)/Datos!BE14," - ")</f>
        <v>-4.4436275020988299E-2</v>
      </c>
      <c r="J14" s="365">
        <f>IF(ISNUMBER((Tasas!D14-Datos!BF14)/Datos!BF14),(Tasas!D14-Datos!BF14)/Datos!BF14," - ")</f>
        <v>-0.59993335931096414</v>
      </c>
      <c r="K14" s="368">
        <f>IF(ISNUMBER((Tasas!E14-Datos!BG14)/Datos!BG14),(Tasas!E14-Datos!BG14)/Datos!BG14," - ")</f>
        <v>-3.0756325918779213E-2</v>
      </c>
      <c r="M14" t="e">
        <f>IF(Monitorios="SI",Datos!CE14,0)</f>
        <v>#REF!</v>
      </c>
      <c r="N14" t="e">
        <f>IF(Monitorios="SI",Datos!CF14,0)</f>
        <v>#REF!</v>
      </c>
      <c r="O14" t="e">
        <f>IF(Monitorios="SI",Datos!CG14,0)</f>
        <v>#REF!</v>
      </c>
      <c r="P14" t="e">
        <f>IF(Monitorios="SI",Datos!CH14,0)</f>
        <v>#REF!</v>
      </c>
      <c r="Q14">
        <f>IF(J_V="SI",0,Datos!AG14)</f>
        <v>251</v>
      </c>
      <c r="R14">
        <f>IF(J_V="SI",0,Datos!AH14)</f>
        <v>287</v>
      </c>
      <c r="S14">
        <f>IF(J_V="SI",0,Datos!AI14)</f>
        <v>302</v>
      </c>
      <c r="T14">
        <f>IF(J_V="SI",0,Datos!AJ14)</f>
        <v>236</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f>IF(ISNUMBER(
   IF(D_I="SI",(Datos!I16-Datos!S16)/Datos!S16,(Datos!I16+Datos!AC16-(Datos!S16+Datos!AK16))/(Datos!S16+Datos!AK16))
     ),IF(D_I="SI",(Datos!I16-Datos!S16)/Datos!S16,(Datos!I16+Datos!AC16-(Datos!S16+Datos!AK16))/(Datos!S16+Datos!AK16))," - ")</f>
        <v>0.17023445463812437</v>
      </c>
      <c r="E16" s="358">
        <f>IF(ISNUMBER(
   IF(D_I="SI",(Datos!J16-Datos!T16)/Datos!T16,(Datos!J16+Datos!AD16-(Datos!T16+Datos!AL16))/(Datos!T16+Datos!AL16))
     ),IF(D_I="SI",(Datos!J16-Datos!T16)/Datos!T16,(Datos!J16+Datos!AD16-(Datos!T16+Datos!AL16))/(Datos!T16+Datos!AL16))," - ")</f>
        <v>7.1340060187643828E-2</v>
      </c>
      <c r="F16" s="358">
        <f>IF(ISNUMBER(
   IF(D_I="SI",(Datos!K16-Datos!U16)/Datos!U16,(Datos!K16+Datos!AE16-(Datos!U16+Datos!AM16))/(Datos!U16+Datos!AM16))
     ),IF(D_I="SI",(Datos!K16-Datos!U16)/Datos!U16,(Datos!K16+Datos!AE16-(Datos!U16+Datos!AM16))/(Datos!U16+Datos!AM16))," - ")</f>
        <v>5.7188669160876539E-2</v>
      </c>
      <c r="G16" s="359">
        <f>IF(ISNUMBER(
   IF(D_I="SI",(Datos!L16-Datos!V16)/Datos!V16,(Datos!L16+Datos!AF16-(Datos!V16+Datos!AN16))/(Datos!V16+Datos!AN16))
     ),IF(D_I="SI",(Datos!L16-Datos!V16)/Datos!V16,(Datos!L16+Datos!AF16-(Datos!V16+Datos!AN16))/(Datos!V16+Datos!AN16))," - ")</f>
        <v>0.18760357971494862</v>
      </c>
      <c r="H16" s="235">
        <f>IF(ISNUMBER((Datos!M16-Datos!W16)/Datos!W16),(Datos!M16-Datos!W16)/Datos!W16," - ")</f>
        <v>3.8461538461538464E-2</v>
      </c>
      <c r="I16" s="360">
        <f>IF(ISNUMBER((Tasas!C16-Datos!BE16)/Datos!BE16),(Tasas!C16-Datos!BE16)/Datos!BE16," - ")</f>
        <v>0.12336011003370519</v>
      </c>
      <c r="J16" s="359">
        <f>IF(ISNUMBER((Tasas!D16-Datos!BF16)/Datos!BF16),(Tasas!D16-Datos!BF16)/Datos!BF16," - ")</f>
        <v>-1.7714085712063402E-2</v>
      </c>
      <c r="K16" s="361">
        <f>IF(ISNUMBER((Tasas!E16-Datos!BG16)/Datos!BG16),(Tasas!E16-Datos!BG16)/Datos!BG16," - ")</f>
        <v>4.5427542822066867E-2</v>
      </c>
    </row>
    <row r="17" spans="2:20" ht="14.25">
      <c r="B17" s="280" t="s">
        <v>437</v>
      </c>
      <c r="C17" s="7" t="str">
        <f>Datos!A17</f>
        <v xml:space="preserve">Jdos. 1ª Instª. e Instr.                        </v>
      </c>
      <c r="D17" s="362" t="str">
        <f>IF(ISNUMBER(
   IF(D_I="SI",(Datos!I17-Datos!S17)/Datos!S17,(Datos!I17+Datos!AC17-(Datos!S17+Datos!AK17))/(Datos!S17+Datos!AK17))
     ),IF(D_I="SI",(Datos!I17-Datos!S17)/Datos!S17,(Datos!I17+Datos!AC17-(Datos!S17+Datos!AK17))/(Datos!S17+Datos!AK17))," - ")</f>
        <v xml:space="preserve"> - </v>
      </c>
      <c r="E17" s="358" t="str">
        <f>IF(ISNUMBER(
   IF(D_I="SI",(Datos!J17-Datos!T17)/Datos!T17,(Datos!J17+Datos!AD17-(Datos!T17+Datos!AL17))/(Datos!T17+Datos!AL17))
     ),IF(D_I="SI",(Datos!J17-Datos!T17)/Datos!T17,(Datos!J17+Datos!AD17-(Datos!T17+Datos!AL17))/(Datos!T17+Datos!AL17))," - ")</f>
        <v xml:space="preserve"> - </v>
      </c>
      <c r="F17" s="358" t="str">
        <f>IF(ISNUMBER(
   IF(D_I="SI",(Datos!K17-Datos!U17)/Datos!U17,(Datos!K17+Datos!AE17-(Datos!U17+Datos!AM17))/(Datos!U17+Datos!AM17))
     ),IF(D_I="SI",(Datos!K17-Datos!U17)/Datos!U17,(Datos!K17+Datos!AE17-(Datos!U17+Datos!AM17))/(Datos!U17+Datos!AM17))," - ")</f>
        <v xml:space="preserve"> - </v>
      </c>
      <c r="G17" s="359" t="str">
        <f>IF(ISNUMBER(
   IF(D_I="SI",(Datos!L17-Datos!V17)/Datos!V17,(Datos!L17+Datos!AF17-(Datos!V17+Datos!AN17))/(Datos!V17+Datos!AN17))
     ),IF(D_I="SI",(Datos!L17-Datos!V17)/Datos!V17,(Datos!L17+Datos!AF17-(Datos!V17+Datos!AN17))/(Datos!V17+Datos!AN17))," - ")</f>
        <v xml:space="preserve"> - </v>
      </c>
      <c r="H17" s="235" t="str">
        <f>IF(ISNUMBER((Datos!M17-Datos!W17)/Datos!W17),(Datos!M17-Datos!W17)/Datos!W17," - ")</f>
        <v xml:space="preserve"> - </v>
      </c>
      <c r="I17" s="360" t="str">
        <f>IF(ISNUMBER((Tasas!C17-Datos!BE17)/Datos!BE17),(Tasas!C17-Datos!BE17)/Datos!BE17," - ")</f>
        <v xml:space="preserve"> - </v>
      </c>
      <c r="J17" s="359" t="str">
        <f>IF(ISNUMBER((Tasas!D17-Datos!BF17)/Datos!BF17),(Tasas!D17-Datos!BF17)/Datos!BF17," - ")</f>
        <v xml:space="preserve"> - </v>
      </c>
      <c r="K17" s="361" t="str">
        <f>IF(ISNUMBER((Tasas!E17-Datos!BG17)/Datos!BG17),(Tasas!E17-Datos!BG17)/Datos!BG17," - ")</f>
        <v xml:space="preserve"> - </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0.47654320987654319</v>
      </c>
      <c r="E18" s="358">
        <f>IF(ISNUMBER(
   IF(D_I="SI",(Datos!J18-Datos!T18)/Datos!T18,(Datos!J18+Datos!AD18-(Datos!T18+Datos!AL18))/(Datos!T18+Datos!AL18))
     ),IF(D_I="SI",(Datos!J18-Datos!T18)/Datos!T18,(Datos!J18+Datos!AD18-(Datos!T18+Datos!AL18))/(Datos!T18+Datos!AL18))," - ")</f>
        <v>4.0268456375838924E-2</v>
      </c>
      <c r="F18" s="358">
        <f>IF(ISNUMBER(
   IF(D_I="SI",(Datos!K18-Datos!U18)/Datos!U18,(Datos!K18+Datos!AE18-(Datos!U18+Datos!AM18))/(Datos!U18+Datos!AM18))
     ),IF(D_I="SI",(Datos!K18-Datos!U18)/Datos!U18,(Datos!K18+Datos!AE18-(Datos!U18+Datos!AM18))/(Datos!U18+Datos!AM18))," - ")</f>
        <v>6.0165975103734441E-2</v>
      </c>
      <c r="G18" s="359">
        <f>IF(ISNUMBER(
   IF(D_I="SI",(Datos!L18-Datos!V18)/Datos!V18,(Datos!L18+Datos!AF18-(Datos!V18+Datos!AN18))/(Datos!V18+Datos!AN18))
     ),IF(D_I="SI",(Datos!L18-Datos!V18)/Datos!V18,(Datos!L18+Datos!AF18-(Datos!V18+Datos!AN18))/(Datos!V18+Datos!AN18))," - ")</f>
        <v>0.49189189189189192</v>
      </c>
      <c r="H18" s="235">
        <f>IF(ISNUMBER((Datos!M18-Datos!W18)/Datos!W18),(Datos!M18-Datos!W18)/Datos!W18," - ")</f>
        <v>0.4</v>
      </c>
      <c r="I18" s="360">
        <f>IF(ISNUMBER((Tasas!C18-Datos!BE18)/Datos!BE18),(Tasas!C18-Datos!BE18)/Datos!BE18," - ")</f>
        <v>0.40722483736182352</v>
      </c>
      <c r="J18" s="359">
        <f>IF(ISNUMBER((Tasas!D18-Datos!BF18)/Datos!BF18),(Tasas!D18-Datos!BF18)/Datos!BF18," - ")</f>
        <v>0.32054794520547941</v>
      </c>
      <c r="K18" s="361">
        <f>IF(ISNUMBER((Tasas!E18-Datos!BG18)/Datos!BG18),(Tasas!E18-Datos!BG18)/Datos!BG18," - ")</f>
        <v>0.17684646692943048</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0.2072879330943847</v>
      </c>
      <c r="E20" s="364">
        <f>IF(ISNUMBER(
   IF(D_I="SI",(Datos!J20-Datos!T20)/Datos!T20,(Datos!J20+Datos!AD20-(Datos!T20+Datos!AL20))/(Datos!T20+Datos!AL20))
     ),IF(D_I="SI",(Datos!J20-Datos!T20)/Datos!T20,(Datos!J20+Datos!AD20-(Datos!T20+Datos!AL20))/(Datos!T20+Datos!AL20))," - ")</f>
        <v>6.9061679790026254E-2</v>
      </c>
      <c r="F20" s="364">
        <f>IF(ISNUMBER(
   IF(D_I="SI",(Datos!K20-Datos!U20)/Datos!U20,(Datos!K20+Datos!AE20-(Datos!U20+Datos!AM20))/(Datos!U20+Datos!AM20))
     ),IF(D_I="SI",(Datos!K20-Datos!U20)/Datos!U20,(Datos!K20+Datos!AE20-(Datos!U20+Datos!AM20))/(Datos!U20+Datos!AM20))," - ")</f>
        <v>5.742411812961444E-2</v>
      </c>
      <c r="G20" s="365">
        <f>IF(ISNUMBER(
   IF(D_I="SI",(Datos!L20-Datos!V20)/Datos!V20,(Datos!L20+Datos!AF20-(Datos!V20+Datos!AN20))/(Datos!V20+Datos!AN20))
     ),IF(D_I="SI",(Datos!L20-Datos!V20)/Datos!V20,(Datos!L20+Datos!AF20-(Datos!V20+Datos!AN20))/(Datos!V20+Datos!AN20))," - ")</f>
        <v>0.22084440507824032</v>
      </c>
      <c r="H20" s="366">
        <f>IF(ISNUMBER((Datos!M20-Datos!W20)/Datos!W20),(Datos!M20-Datos!W20)/Datos!W20," - ")</f>
        <v>4.3037974683544304E-2</v>
      </c>
      <c r="I20" s="367">
        <f>IF(ISNUMBER((Tasas!C20-Datos!BE20)/Datos!BE20),(Tasas!C20-Datos!BE20)/Datos!BE20," - ")</f>
        <v>0.15454563986840575</v>
      </c>
      <c r="J20" s="365">
        <f>IF(ISNUMBER((Tasas!D20-Datos!BF20)/Datos!BF20),(Tasas!D20-Datos!BF20)/Datos!BF20," - ")</f>
        <v>-1.360489438383191E-2</v>
      </c>
      <c r="K20" s="368">
        <f>IF(ISNUMBER((Tasas!E20-Datos!BG20)/Datos!BG20),(Tasas!E20-Datos!BG20)/Datos!BG20," - ")</f>
        <v>5.7347151753885356E-2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0.26975016880486158</v>
      </c>
      <c r="E21" s="373">
        <f>IF(ISNUMBER(
   IF(J_V="SI",(Datos!J21-Datos!T21)/Datos!T21,(Datos!J21+Datos!Z21-(Datos!T21+Datos!AH21))/(Datos!T21+Datos!AH21))
     ),IF(J_V="SI",(Datos!J21-Datos!T21)/Datos!T21,(Datos!J21+Datos!Z21-(Datos!T21+Datos!AH21))/(Datos!T21+Datos!AH21))," - ")</f>
        <v>0</v>
      </c>
      <c r="F21" s="373">
        <f>IF(ISNUMBER(
   IF(J_V="SI",(Datos!K21-Datos!U21)/Datos!U21,(Datos!K21+Datos!AA21-(Datos!U21+Datos!AI21))/(Datos!U21+Datos!AI21))
     ),IF(J_V="SI",(Datos!K21-Datos!U21)/Datos!U21,(Datos!K21+Datos!AA21-(Datos!U21+Datos!AI21))/(Datos!U21+Datos!AI21))," - ")</f>
        <v>0.1155711484882881</v>
      </c>
      <c r="G21" s="374">
        <f>IF(ISNUMBER(
   IF(J_V="SI",(Datos!L21-Datos!V21)/Datos!V21,(Datos!L21+Datos!AB21-(Datos!V21+Datos!AJ21))/(Datos!V21+Datos!AJ21))
     ),IF(J_V="SI",(Datos!L21-Datos!V21)/Datos!V21,(Datos!L21+Datos!AB21-(Datos!V21+Datos!AJ21))/(Datos!V21+Datos!AJ21))," - ")</f>
        <v>0.17290066881347535</v>
      </c>
      <c r="H21" s="375">
        <f>IF(ISNUMBER((Datos!M21-Datos!W21)/Datos!W21),(Datos!M21-Datos!W21)/Datos!W21," - ")</f>
        <v>5.6669572798605058E-2</v>
      </c>
      <c r="I21" s="372">
        <f>IF(ISNUMBER((Tasas!C21-Datos!BE21)/Datos!BE21),(Tasas!C21-Datos!BE21)/Datos!BE21," - ")</f>
        <v>5.1390285956099256E-2</v>
      </c>
      <c r="J21" s="373">
        <f>IF(ISNUMBER((Tasas!D21-Datos!BF21)/Datos!BF21),(Tasas!D21-Datos!BF21)/Datos!BF21," - ")</f>
        <v>-0.46795347829698974</v>
      </c>
      <c r="K21" s="374">
        <f>IF(ISNUMBER((Tasas!E21-Datos!BG21)/Datos!BG21),(Tasas!E21-Datos!BG21)/Datos!BG21," - ")</f>
        <v>3.555569844751346E-2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0.14060383743681057</v>
      </c>
      <c r="E23" s="283">
        <f t="shared" si="1"/>
        <v>1.4526775613839162E-2</v>
      </c>
      <c r="F23" s="283">
        <f t="shared" si="1"/>
        <v>0.26774861694428936</v>
      </c>
      <c r="G23" s="284">
        <f t="shared" si="1"/>
        <v>0.14437420724980818</v>
      </c>
      <c r="H23" s="290">
        <f t="shared" si="1"/>
        <v>0.38620089970782545</v>
      </c>
      <c r="I23" s="282">
        <f t="shared" si="1"/>
        <v>0.22240003901915598</v>
      </c>
      <c r="J23" s="283">
        <f t="shared" si="1"/>
        <v>0.40585493573810616</v>
      </c>
      <c r="K23" s="284">
        <f t="shared" si="1"/>
        <v>0.12667371527417015</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VxoJgt5stwrrvEBI6bbUDzcr4gk+u7OCvnxDM4XK1bEqvPK5yHF5hBdRGRbl0PD7oQI9nkIRG7vY0b6A5vXNUA==" saltValue="ywDwcruajl/LhCQazKqEKg=="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8</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f>IF(ISNUMBER(NºAsuntos!I9/NºAsuntos!G9),(NºAsuntos!I9/NºAsuntos!G9)*11," - ")</f>
        <v>37.231749710312862</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192</v>
      </c>
      <c r="D10" s="230">
        <f>IF(ISNUMBER(Datos!I10),Datos!I10," - ")</f>
        <v>192</v>
      </c>
      <c r="E10" s="231">
        <f>IF(ISNUMBER(Datos!J10),Datos!J10," - ")</f>
        <v>59</v>
      </c>
      <c r="F10" s="231">
        <f>IF(ISNUMBER(Datos!K10),Datos!K10," - ")</f>
        <v>51</v>
      </c>
      <c r="G10" s="1193" t="str">
        <f>IF(Datos!E10&lt;&gt;"",Datos!E10,Datos!D10)</f>
        <v>37</v>
      </c>
      <c r="H10" s="232">
        <f>IF(ISNUMBER(Datos!L10),Datos!L10," - ")</f>
        <v>200</v>
      </c>
      <c r="I10" s="1203" t="str">
        <f>IF(ISNUMBER(Datos!AS10/Datos!BM10),Datos!AS10/Datos!BM10," - ")</f>
        <v xml:space="preserve"> - </v>
      </c>
      <c r="J10" s="1204">
        <f>IF(ISNUMBER(Datos!BY10/Datos!CN10),Datos!BY10/Datos!CN10," - ")</f>
        <v>0</v>
      </c>
      <c r="K10" s="235">
        <f t="shared" ref="K10:K13" si="1">IF(ISNUMBER((E10-F10)/C10),(E10-F10)/C10," - ")</f>
        <v>4.1666666666666664E-2</v>
      </c>
      <c r="L10" s="1205">
        <f>IF(ISNUMBER(NºAsuntos!I10/NºAsuntos!G10),(NºAsuntos!I10/NºAsuntos!G10)*11," - ")</f>
        <v>43.13725490196078</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0</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t="str">
        <f>IF(ISNUMBER(NºAsuntos!I12/NºAsuntos!G12),(NºAsuntos!I12/NºAsuntos!G12)*11," - ")</f>
        <v xml:space="preserve"> - </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192</v>
      </c>
      <c r="D14" s="1210">
        <f>SUBTOTAL(9,D9:D13)</f>
        <v>192</v>
      </c>
      <c r="E14" s="1211">
        <f>SUBTOTAL(9,E9:E13)</f>
        <v>59</v>
      </c>
      <c r="F14" s="1212">
        <f>SUBTOTAL(9,F9:F13)</f>
        <v>51</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5</v>
      </c>
      <c r="B16" s="1258" t="str">
        <f>Datos!A16</f>
        <v xml:space="preserve">Jdos. Instrucción                               </v>
      </c>
      <c r="C16" s="230">
        <f t="shared" ref="C16:C19" si="2">IF(ISNUMBER(H16-E16+F16),H16-E16+F16," - ")</f>
        <v>3465</v>
      </c>
      <c r="D16" s="230">
        <f>IF(ISNUMBER(IF(D_I="SI",Datos!I16,Datos!I16+Datos!AC16)),IF(D_I="SI",Datos!I16,Datos!I16+Datos!AC16)," - ")</f>
        <v>3444</v>
      </c>
      <c r="E16" s="231">
        <f>IF(ISNUMBER(IF(D_I="SI",Datos!J16,Datos!J16+Datos!AD16)),IF(D_I="SI",Datos!J16,Datos!J16+Datos!AD16)," - ")</f>
        <v>6052</v>
      </c>
      <c r="F16" s="231">
        <f>IF(ISNUMBER(IF(D_I="SI",Datos!K16,Datos!K16+Datos!AE16)),IF(D_I="SI",Datos!K16,Datos!K16+Datos!AE16)," - ")</f>
        <v>5934</v>
      </c>
      <c r="G16" s="1193" t="str">
        <f>IF(Datos!E16&lt;&gt;"",Datos!E16,Datos!D16)</f>
        <v>03</v>
      </c>
      <c r="H16" s="232">
        <f>IF(ISNUMBER(IF(D_I="SI",Datos!L16,Datos!L16+Datos!AF16)),IF(D_I="SI",Datos!L16,Datos!L16+Datos!AF16)," - ")</f>
        <v>3583</v>
      </c>
      <c r="I16" s="1203" t="str">
        <f>IF(ISNUMBER(Datos!AS16/Datos!BM16),Datos!AS16/Datos!BM16," - ")</f>
        <v xml:space="preserve"> - </v>
      </c>
      <c r="J16" s="1204">
        <f>IF(ISNUMBER(Datos!BY16/Datos!CN16),Datos!BY16/Datos!CN16," - ")</f>
        <v>0</v>
      </c>
      <c r="K16" s="235">
        <f t="shared" ref="K16:K19" si="3">IF(ISNUMBER((E16-F16)/C16),(E16-F16)/C16," - ")</f>
        <v>3.4054834054834053E-2</v>
      </c>
      <c r="L16" s="1205">
        <f>IF(ISNUMBER(NºAsuntos!I16/NºAsuntos!G16),(NºAsuntos!I16/NºAsuntos!G16)*11," - ")</f>
        <v>6.6418941691944724</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0</v>
      </c>
      <c r="B17" s="1258" t="str">
        <f>Datos!A17</f>
        <v xml:space="preserve">Jdos. 1ª Instª. e Instr.                        </v>
      </c>
      <c r="C17" s="230" t="str">
        <f t="shared" si="2"/>
        <v xml:space="preserve"> - </v>
      </c>
      <c r="D17" s="230" t="str">
        <f>IF(ISNUMBER(IF(D_I="SI",Datos!I17,Datos!I17+Datos!AC17)),IF(D_I="SI",Datos!I17,Datos!I17+Datos!AC17)," - ")</f>
        <v xml:space="preserve"> - </v>
      </c>
      <c r="E17" s="231" t="str">
        <f>IF(ISNUMBER(IF(D_I="SI",Datos!J17,Datos!J17+Datos!AD17)),IF(D_I="SI",Datos!J17,Datos!J17+Datos!AD17)," - ")</f>
        <v xml:space="preserve"> - </v>
      </c>
      <c r="F17" s="231" t="str">
        <f>IF(ISNUMBER(IF(D_I="SI",Datos!K17,Datos!K17+Datos!AE17)),IF(D_I="SI",Datos!K17,Datos!K17+Datos!AE17)," - ")</f>
        <v xml:space="preserve"> - </v>
      </c>
      <c r="G17" s="1193" t="str">
        <f>IF(Datos!E17&lt;&gt;"",Datos!E17,Datos!D17)</f>
        <v>04</v>
      </c>
      <c r="H17" s="232" t="str">
        <f>IF(ISNUMBER(IF(D_I="SI",Datos!L17,Datos!L17+Datos!AF17)),IF(D_I="SI",Datos!L17,Datos!L17+Datos!AF17)," - ")</f>
        <v xml:space="preserve"> - </v>
      </c>
      <c r="I17" s="1203" t="str">
        <f>IF(ISNUMBER(Datos!AS17/Datos!BM17),Datos!AS17/Datos!BM17," - ")</f>
        <v xml:space="preserve"> - </v>
      </c>
      <c r="J17" s="1204">
        <f>IF(ISNUMBER(Datos!BY17/Datos!CN17),Datos!BY17/Datos!CN17," - ")</f>
        <v>0</v>
      </c>
      <c r="K17" s="235" t="str">
        <f t="shared" si="3"/>
        <v xml:space="preserve"> - </v>
      </c>
      <c r="L17" s="1205" t="str">
        <f>IF(ISNUMBER(NºAsuntos!I17/NºAsuntos!G17),(NºAsuntos!I17/NºAsuntos!G17)*11," - ")</f>
        <v xml:space="preserve"> - </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598</v>
      </c>
      <c r="D18" s="230">
        <f>IF(ISNUMBER(IF(D_I="SI",Datos!I18,Datos!I18+Datos!AC18)),IF(D_I="SI",Datos!I18,Datos!I18+Datos!AC18)," - ")</f>
        <v>598</v>
      </c>
      <c r="E18" s="231">
        <f>IF(ISNUMBER(IF(D_I="SI",Datos!J18,Datos!J18+Datos!AD18)),IF(D_I="SI",Datos!J18,Datos!J18+Datos!AD18)," - ")</f>
        <v>465</v>
      </c>
      <c r="F18" s="231">
        <f>IF(ISNUMBER(IF(D_I="SI",Datos!K18,Datos!K18+Datos!AE18)),IF(D_I="SI",Datos!K18,Datos!K18+Datos!AE18)," - ")</f>
        <v>511</v>
      </c>
      <c r="G18" s="1193" t="str">
        <f>IF(Datos!E18&lt;&gt;"",Datos!E18,Datos!D18)</f>
        <v>37</v>
      </c>
      <c r="H18" s="232">
        <f>IF(ISNUMBER(IF(D_I="SI",Datos!L18,Datos!L18+Datos!AF18)),IF(D_I="SI",Datos!L18,Datos!L18+Datos!AF18)," - ")</f>
        <v>552</v>
      </c>
      <c r="I18" s="1203" t="str">
        <f>IF(ISNUMBER(Datos!AS18/Datos!BM18),Datos!AS18/Datos!BM18," - ")</f>
        <v xml:space="preserve"> - </v>
      </c>
      <c r="J18" s="1204" t="str">
        <f>IF(ISNUMBER((Datos!BY18+Datos!BZ18)/Datos!CN18),(Datos!BY18+Datos!BZ18)/Datos!CN18," - ")</f>
        <v xml:space="preserve"> - </v>
      </c>
      <c r="K18" s="235">
        <f t="shared" si="3"/>
        <v>-7.6923076923076927E-2</v>
      </c>
      <c r="L18" s="1205">
        <f>IF(ISNUMBER(NºAsuntos!I18/NºAsuntos!G18),(NºAsuntos!I18/NºAsuntos!G18)*11," - ")</f>
        <v>11.882583170254403</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4063</v>
      </c>
      <c r="D20" s="1210">
        <f>SUBTOTAL(9,D16:D19)</f>
        <v>4042</v>
      </c>
      <c r="E20" s="1211">
        <f>SUBTOTAL(9,E16:E19)</f>
        <v>6517</v>
      </c>
      <c r="F20" s="1211">
        <f>SUBTOTAL(9,F16:F19)</f>
        <v>6445</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4255</v>
      </c>
      <c r="D21" s="1232">
        <f>SUBTOTAL(9,D9:D20)</f>
        <v>4234</v>
      </c>
      <c r="E21" s="1233">
        <f>SUBTOTAL(9,E9:E20)</f>
        <v>6576</v>
      </c>
      <c r="F21" s="1233">
        <f>SUBTOTAL(9,F9:F20)</f>
        <v>6496</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KRnayytVAWXHf2ySo2hRRP54eOp/PxOWubq5d/hJeXzL69YFui7INmcTDCm2SL+K43ct/mOIRmIC6SnsXFpaGA==" saltValue="u6C/aOB0ZuEtxsszfl9MJw=="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e+AX+v+KITDTE5NH5VSfN7ElFARVqQY5xYD1P6Y7I1WHDyIELDxtl7bzpZfnty+8Bb+vEf0Bfcz5ZdY/wXwueg==" saltValue="lY/5UQvG9jiZYhADzaC3j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v>14221</v>
      </c>
      <c r="J9" s="186">
        <v>3996</v>
      </c>
      <c r="K9" s="186">
        <v>3991</v>
      </c>
      <c r="L9" s="186">
        <v>14226</v>
      </c>
      <c r="M9" s="186">
        <v>778</v>
      </c>
      <c r="N9" s="186">
        <v>2204</v>
      </c>
      <c r="O9" s="186">
        <v>1728</v>
      </c>
      <c r="P9" s="186">
        <v>891</v>
      </c>
      <c r="Q9" s="186">
        <v>1409</v>
      </c>
      <c r="R9" s="186">
        <v>13131</v>
      </c>
      <c r="S9" s="186">
        <v>11069</v>
      </c>
      <c r="T9" s="186">
        <v>4486</v>
      </c>
      <c r="U9" s="186">
        <v>3262</v>
      </c>
      <c r="V9" s="186">
        <v>12359</v>
      </c>
      <c r="W9" s="186">
        <v>741</v>
      </c>
      <c r="X9" s="193">
        <v>1636</v>
      </c>
      <c r="Y9" s="196">
        <v>350</v>
      </c>
      <c r="Z9" s="186">
        <v>353</v>
      </c>
      <c r="AA9" s="186">
        <v>324</v>
      </c>
      <c r="AB9" s="186">
        <v>379</v>
      </c>
      <c r="AC9" s="186">
        <v>0</v>
      </c>
      <c r="AD9" s="186">
        <v>0</v>
      </c>
      <c r="AE9" s="186">
        <v>0</v>
      </c>
      <c r="AF9" s="193">
        <v>0</v>
      </c>
      <c r="AG9" s="196">
        <v>251</v>
      </c>
      <c r="AH9" s="186">
        <v>287</v>
      </c>
      <c r="AI9" s="186">
        <v>302</v>
      </c>
      <c r="AJ9" s="197">
        <v>236</v>
      </c>
      <c r="AK9" s="185">
        <v>0</v>
      </c>
      <c r="AL9" s="186">
        <v>0</v>
      </c>
      <c r="AM9" s="186">
        <v>0</v>
      </c>
      <c r="AN9" s="193">
        <v>0</v>
      </c>
      <c r="AO9" s="263">
        <v>8</v>
      </c>
      <c r="AP9" s="159">
        <v>8</v>
      </c>
      <c r="AQ9" s="159">
        <v>8</v>
      </c>
      <c r="AR9" s="198">
        <v>8</v>
      </c>
      <c r="AS9" s="348" t="s">
        <v>871</v>
      </c>
      <c r="AT9" s="200"/>
      <c r="AU9" s="199"/>
      <c r="AV9" s="200"/>
      <c r="AW9" s="199"/>
      <c r="AX9" s="200"/>
      <c r="AY9" s="125">
        <f>IF(ISNUMBER(IF(J_V="SI",S9,S9+AG9)),IF(J_V="SI",S9,S9+AG9)," - ")</f>
        <v>11320</v>
      </c>
      <c r="AZ9" s="125">
        <f>IF(ISNUMBER(IF(J_V="SI",T9,T9+AH9)),IF(J_V="SI",T9,T9+AH9)," - ")</f>
        <v>4773</v>
      </c>
      <c r="BA9" s="126">
        <f>IF(ISNUMBER(IF(J_V="SI",U9,U9+AI9)),IF(J_V="SI",U9,U9+AI9)," - ")</f>
        <v>3564</v>
      </c>
      <c r="BB9" s="126">
        <f>IF(ISNUMBER(IF(J_V="SI",V9,V9+AJ9)),IF(J_V="SI",V9,V9+AJ9)," - ")</f>
        <v>12595</v>
      </c>
      <c r="BC9" s="127">
        <f>IF(ISNUMBER(X9),X9," - ")</f>
        <v>1636</v>
      </c>
      <c r="BD9" s="128">
        <f>IF(ISNUMBER(BA9/AZ9),BA9/AZ9," - ")</f>
        <v>0.74670018856065368</v>
      </c>
      <c r="BE9" s="129">
        <f>IF(ISNUMBER(BB9/BA9),BB9/BA9, " - ")</f>
        <v>3.5339506172839505</v>
      </c>
      <c r="BF9" s="129">
        <f>IF(ISNUMBER(BC9/BA9),BC9/BA9, " - ")</f>
        <v>0.45903479236812572</v>
      </c>
      <c r="BG9" s="201">
        <f>IF(ISNUMBER((AY9+AZ9)/BA9),(AY9+AZ9)/BA9," - ")</f>
        <v>4.5154320987654319</v>
      </c>
      <c r="BH9" s="159">
        <v>8</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192</v>
      </c>
      <c r="J10" s="186">
        <v>59</v>
      </c>
      <c r="K10" s="186">
        <v>51</v>
      </c>
      <c r="L10" s="186">
        <v>200</v>
      </c>
      <c r="M10" s="186">
        <v>22</v>
      </c>
      <c r="N10" s="186">
        <v>25</v>
      </c>
      <c r="O10" s="186">
        <v>8</v>
      </c>
      <c r="P10" s="186">
        <v>6</v>
      </c>
      <c r="Q10" s="186">
        <v>7</v>
      </c>
      <c r="R10" s="186">
        <v>152</v>
      </c>
      <c r="S10" s="186">
        <v>142</v>
      </c>
      <c r="T10" s="186">
        <v>56</v>
      </c>
      <c r="U10" s="186">
        <v>32</v>
      </c>
      <c r="V10" s="186">
        <v>166</v>
      </c>
      <c r="W10" s="186">
        <v>11</v>
      </c>
      <c r="X10" s="193">
        <v>18</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1</v>
      </c>
      <c r="AQ10" s="159">
        <v>1</v>
      </c>
      <c r="AR10" s="160">
        <v>1</v>
      </c>
      <c r="AS10" s="349" t="s">
        <v>865</v>
      </c>
      <c r="AT10" s="197"/>
      <c r="AU10" s="205"/>
      <c r="AV10" s="197"/>
      <c r="AW10" s="205"/>
      <c r="AX10" s="197"/>
      <c r="AY10" s="130">
        <f t="shared" ref="AY10:BC10" si="0">IF(ISNUMBER(S10),S10," - ")</f>
        <v>142</v>
      </c>
      <c r="AZ10" s="131">
        <f t="shared" si="0"/>
        <v>56</v>
      </c>
      <c r="BA10" s="131">
        <f t="shared" si="0"/>
        <v>32</v>
      </c>
      <c r="BB10" s="131">
        <f t="shared" si="0"/>
        <v>166</v>
      </c>
      <c r="BC10" s="127">
        <f t="shared" si="0"/>
        <v>11</v>
      </c>
      <c r="BD10" s="128">
        <f>IF(ISNUMBER(BA10/AZ10),BA10/AZ10," - ")</f>
        <v>0.5714285714285714</v>
      </c>
      <c r="BE10" s="129">
        <f>IF(ISNUMBER(BB10/BA10),BB10/BA10, " - ")</f>
        <v>5.1875</v>
      </c>
      <c r="BF10" s="129">
        <f>IF(ISNUMBER(BC10/BA10),BC10/BA10, " - ")</f>
        <v>0.34375</v>
      </c>
      <c r="BG10" s="201">
        <f>IF(ISNUMBER((AY10+AZ10)/BA10),(AY10+AZ10)/BA10," - ")</f>
        <v>6.1875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t="s">
        <v>880</v>
      </c>
      <c r="J12" s="188" t="s">
        <v>872</v>
      </c>
      <c r="K12" s="188" t="s">
        <v>928</v>
      </c>
      <c r="L12" s="188" t="s">
        <v>885</v>
      </c>
      <c r="M12" s="188" t="s">
        <v>548</v>
      </c>
      <c r="N12" s="188" t="s">
        <v>563</v>
      </c>
      <c r="O12" s="186" t="s">
        <v>247</v>
      </c>
      <c r="P12" s="188" t="s">
        <v>40</v>
      </c>
      <c r="Q12" s="188" t="s">
        <v>41</v>
      </c>
      <c r="R12" s="188" t="s">
        <v>94</v>
      </c>
      <c r="S12" s="188"/>
      <c r="T12" s="188"/>
      <c r="U12" s="188"/>
      <c r="V12" s="188"/>
      <c r="W12" s="188"/>
      <c r="X12" s="194"/>
      <c r="Y12" s="196" t="s">
        <v>147</v>
      </c>
      <c r="Z12" s="186" t="s">
        <v>148</v>
      </c>
      <c r="AA12" s="186" t="s">
        <v>149</v>
      </c>
      <c r="AB12" s="186" t="s">
        <v>150</v>
      </c>
      <c r="AC12" s="188"/>
      <c r="AD12" s="188"/>
      <c r="AE12" s="188"/>
      <c r="AF12" s="194"/>
      <c r="AG12" s="207"/>
      <c r="AH12" s="188"/>
      <c r="AI12" s="188"/>
      <c r="AJ12" s="208"/>
      <c r="AK12" s="187"/>
      <c r="AL12" s="188"/>
      <c r="AM12" s="188"/>
      <c r="AN12" s="194"/>
      <c r="AO12" s="264">
        <v>0</v>
      </c>
      <c r="AP12" s="160">
        <v>0</v>
      </c>
      <c r="AQ12" s="160">
        <v>0</v>
      </c>
      <c r="AR12" s="159">
        <v>0</v>
      </c>
      <c r="AS12" s="350" t="s">
        <v>874</v>
      </c>
      <c r="AT12" s="208"/>
      <c r="AU12" s="207"/>
      <c r="AV12" s="208"/>
      <c r="AW12" s="207"/>
      <c r="AX12" s="208"/>
      <c r="AY12" s="128">
        <f t="shared" si="1"/>
        <v>0</v>
      </c>
      <c r="AZ12" s="129">
        <f t="shared" si="1"/>
        <v>0</v>
      </c>
      <c r="BA12" s="129">
        <f t="shared" si="1"/>
        <v>0</v>
      </c>
      <c r="BB12" s="129">
        <f t="shared" si="1"/>
        <v>0</v>
      </c>
      <c r="BC12" s="127" t="str">
        <f>IF(ISNUMBER(X12),X12," - ")</f>
        <v xml:space="preserve"> - </v>
      </c>
      <c r="BD12" s="128" t="str">
        <f t="shared" si="2"/>
        <v xml:space="preserve"> - </v>
      </c>
      <c r="BE12" s="129" t="str">
        <f t="shared" si="3"/>
        <v xml:space="preserve"> - </v>
      </c>
      <c r="BF12" s="129" t="str">
        <f t="shared" si="4"/>
        <v xml:space="preserve"> - </v>
      </c>
      <c r="BG12" s="201" t="str">
        <f t="shared" si="5"/>
        <v xml:space="preserve"> - </v>
      </c>
      <c r="BH12" s="160">
        <v>0</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14413</v>
      </c>
      <c r="J14" s="189">
        <f t="shared" si="7"/>
        <v>4055</v>
      </c>
      <c r="K14" s="189">
        <f t="shared" si="7"/>
        <v>4042</v>
      </c>
      <c r="L14" s="189">
        <f t="shared" si="7"/>
        <v>14426</v>
      </c>
      <c r="M14" s="189">
        <f t="shared" si="7"/>
        <v>800</v>
      </c>
      <c r="N14" s="189">
        <f t="shared" si="7"/>
        <v>2229</v>
      </c>
      <c r="O14" s="189">
        <f t="shared" si="7"/>
        <v>1736</v>
      </c>
      <c r="P14" s="189">
        <f t="shared" si="7"/>
        <v>897</v>
      </c>
      <c r="Q14" s="189">
        <f t="shared" si="7"/>
        <v>1416</v>
      </c>
      <c r="R14" s="189">
        <f t="shared" si="7"/>
        <v>13283</v>
      </c>
      <c r="S14" s="189">
        <f t="shared" si="7"/>
        <v>11211</v>
      </c>
      <c r="T14" s="189">
        <f t="shared" si="7"/>
        <v>4542</v>
      </c>
      <c r="U14" s="189">
        <f t="shared" si="7"/>
        <v>3294</v>
      </c>
      <c r="V14" s="189">
        <f t="shared" si="7"/>
        <v>12525</v>
      </c>
      <c r="W14" s="189">
        <f t="shared" si="7"/>
        <v>752</v>
      </c>
      <c r="X14" s="189">
        <f t="shared" si="7"/>
        <v>1654</v>
      </c>
      <c r="Y14" s="189">
        <f t="shared" si="7"/>
        <v>350</v>
      </c>
      <c r="Z14" s="189">
        <f t="shared" si="7"/>
        <v>353</v>
      </c>
      <c r="AA14" s="189">
        <f t="shared" si="7"/>
        <v>324</v>
      </c>
      <c r="AB14" s="189">
        <f t="shared" si="7"/>
        <v>379</v>
      </c>
      <c r="AC14" s="189">
        <f t="shared" si="7"/>
        <v>0</v>
      </c>
      <c r="AD14" s="189">
        <f t="shared" si="7"/>
        <v>0</v>
      </c>
      <c r="AE14" s="189">
        <f t="shared" si="7"/>
        <v>0</v>
      </c>
      <c r="AF14" s="189">
        <f>SUBTOTAL(9,AF9:AF13)</f>
        <v>0</v>
      </c>
      <c r="AG14" s="189">
        <f t="shared" ref="AG14:AT14" si="8">SUBTOTAL(9,AG8:AG13)</f>
        <v>251</v>
      </c>
      <c r="AH14" s="189">
        <f t="shared" si="8"/>
        <v>287</v>
      </c>
      <c r="AI14" s="189">
        <f t="shared" si="8"/>
        <v>302</v>
      </c>
      <c r="AJ14" s="189">
        <f t="shared" si="8"/>
        <v>236</v>
      </c>
      <c r="AK14" s="189">
        <f t="shared" si="8"/>
        <v>0</v>
      </c>
      <c r="AL14" s="189">
        <f t="shared" si="8"/>
        <v>0</v>
      </c>
      <c r="AM14" s="189">
        <f t="shared" si="8"/>
        <v>0</v>
      </c>
      <c r="AN14" s="189">
        <f t="shared" si="8"/>
        <v>0</v>
      </c>
      <c r="AO14" s="189">
        <f t="shared" si="8"/>
        <v>9</v>
      </c>
      <c r="AP14" s="189">
        <f t="shared" si="8"/>
        <v>9</v>
      </c>
      <c r="AQ14" s="189">
        <f t="shared" si="8"/>
        <v>9</v>
      </c>
      <c r="AR14" s="189">
        <f t="shared" si="8"/>
        <v>9</v>
      </c>
      <c r="AS14" s="189">
        <f t="shared" si="8"/>
        <v>0</v>
      </c>
      <c r="AT14" s="189">
        <f t="shared" si="8"/>
        <v>0</v>
      </c>
      <c r="AU14" s="209"/>
      <c r="AV14" s="134"/>
      <c r="AW14" s="209"/>
      <c r="AX14" s="134"/>
      <c r="AY14" s="189">
        <f>SUBTOTAL(9,AY8:AY13)</f>
        <v>11462</v>
      </c>
      <c r="AZ14" s="189">
        <f>SUBTOTAL(9,AZ8:AZ13)</f>
        <v>4829</v>
      </c>
      <c r="BA14" s="189">
        <f>SUBTOTAL(9,BA8:BA13)</f>
        <v>3596</v>
      </c>
      <c r="BB14" s="189">
        <f>SUBTOTAL(9,BB8:BB13)</f>
        <v>12761</v>
      </c>
      <c r="BC14" s="189">
        <f>SUBTOTAL(9,BC8:BC13)</f>
        <v>1647</v>
      </c>
      <c r="BD14" s="210">
        <f>IF(ISNUMBER(BA14/AZ14),BA14/AZ14," - ")</f>
        <v>0.74466763305032102</v>
      </c>
      <c r="BE14" s="211">
        <f>IF(ISNUMBER(BB14/BA14),BB14/BA14, " - ")</f>
        <v>3.5486651835372638</v>
      </c>
      <c r="BF14" s="211">
        <f>IF(ISNUMBER(BC14/BA14),BC14/BA14, " - ")</f>
        <v>0.45800889877641826</v>
      </c>
      <c r="BG14" s="212">
        <f>IF(ISNUMBER((AY14+AZ14)/BA14),(AY14+AZ14)/BA14," - ")</f>
        <v>4.5303114571746388</v>
      </c>
      <c r="BH14" s="145">
        <f>SUBTOTAL(9,BH8:BH13)</f>
        <v>9</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v>3444</v>
      </c>
      <c r="J16" s="188">
        <v>6052</v>
      </c>
      <c r="K16" s="188">
        <v>5934</v>
      </c>
      <c r="L16" s="188">
        <v>3583</v>
      </c>
      <c r="M16" s="188">
        <v>405</v>
      </c>
      <c r="N16" s="188">
        <v>4448</v>
      </c>
      <c r="O16" s="186">
        <v>139</v>
      </c>
      <c r="P16" s="188">
        <v>232</v>
      </c>
      <c r="Q16" s="188">
        <v>223</v>
      </c>
      <c r="R16" s="188">
        <v>455</v>
      </c>
      <c r="S16" s="188">
        <v>2943</v>
      </c>
      <c r="T16" s="188">
        <v>5649</v>
      </c>
      <c r="U16" s="188">
        <v>5613</v>
      </c>
      <c r="V16" s="188">
        <v>3017</v>
      </c>
      <c r="W16" s="188">
        <v>390</v>
      </c>
      <c r="X16" s="194">
        <v>4020</v>
      </c>
      <c r="Y16" s="207">
        <v>0</v>
      </c>
      <c r="Z16" s="188">
        <v>0</v>
      </c>
      <c r="AA16" s="188">
        <v>0</v>
      </c>
      <c r="AB16" s="188">
        <v>0</v>
      </c>
      <c r="AC16" s="188">
        <v>1</v>
      </c>
      <c r="AD16" s="188">
        <v>166</v>
      </c>
      <c r="AE16" s="188">
        <v>165</v>
      </c>
      <c r="AF16" s="194">
        <v>2</v>
      </c>
      <c r="AG16" s="207">
        <v>0</v>
      </c>
      <c r="AH16" s="188">
        <v>0</v>
      </c>
      <c r="AI16" s="188">
        <v>0</v>
      </c>
      <c r="AJ16" s="208">
        <v>0</v>
      </c>
      <c r="AK16" s="187">
        <v>5</v>
      </c>
      <c r="AL16" s="188">
        <v>97</v>
      </c>
      <c r="AM16" s="188">
        <v>98</v>
      </c>
      <c r="AN16" s="194">
        <v>4</v>
      </c>
      <c r="AO16" s="264">
        <v>5</v>
      </c>
      <c r="AP16" s="160">
        <v>5</v>
      </c>
      <c r="AQ16" s="160">
        <v>5</v>
      </c>
      <c r="AR16" s="160">
        <v>5</v>
      </c>
      <c r="AS16" s="350" t="s">
        <v>588</v>
      </c>
      <c r="AT16" s="208" t="s">
        <v>360</v>
      </c>
      <c r="AU16" s="207"/>
      <c r="AV16" s="208"/>
      <c r="AW16" s="207"/>
      <c r="AX16" s="208"/>
      <c r="AY16" s="130">
        <f t="shared" ref="AY16:BB17" si="10">IF(ISNUMBER(IF(D_I="SI",S16,S16+AK16)),IF(D_I="SI",S16,S16+AK16)," - ")</f>
        <v>2943</v>
      </c>
      <c r="AZ16" s="131">
        <f t="shared" si="10"/>
        <v>5649</v>
      </c>
      <c r="BA16" s="131">
        <f t="shared" si="10"/>
        <v>5613</v>
      </c>
      <c r="BB16" s="131">
        <f t="shared" si="10"/>
        <v>3017</v>
      </c>
      <c r="BC16" s="127">
        <f>IF(ISNUMBER(W16),W16," - ")</f>
        <v>390</v>
      </c>
      <c r="BD16" s="128">
        <f>IF(ISNUMBER(BA16/AZ16),BA16/AZ16," - ")</f>
        <v>0.99362719065321292</v>
      </c>
      <c r="BE16" s="129">
        <f>IF(ISNUMBER(BB16/BA16),BB16/BA16, " - ")</f>
        <v>0.53750222697309813</v>
      </c>
      <c r="BF16" s="129">
        <f>IF(ISNUMBER(BC16/BA16),BC16/BA16, " - ")</f>
        <v>6.9481560662747188E-2</v>
      </c>
      <c r="BG16" s="201">
        <f t="shared" ref="BG16:BG19" si="11">IF(ISNUMBER((AY16+AZ16)/BA16),(AY16+AZ16)/BA16," - ")</f>
        <v>1.5307322287546767</v>
      </c>
      <c r="BH16" s="160">
        <v>5</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t="s">
        <v>546</v>
      </c>
      <c r="J17" s="188" t="s">
        <v>542</v>
      </c>
      <c r="K17" s="188" t="s">
        <v>543</v>
      </c>
      <c r="L17" s="188" t="s">
        <v>544</v>
      </c>
      <c r="M17" s="188" t="s">
        <v>549</v>
      </c>
      <c r="N17" s="188" t="s">
        <v>168</v>
      </c>
      <c r="O17" s="186" t="s">
        <v>248</v>
      </c>
      <c r="P17" s="188" t="s">
        <v>528</v>
      </c>
      <c r="Q17" s="188" t="s">
        <v>529</v>
      </c>
      <c r="R17" s="188" t="s">
        <v>530</v>
      </c>
      <c r="S17" s="188"/>
      <c r="T17" s="188"/>
      <c r="U17" s="188"/>
      <c r="V17" s="188"/>
      <c r="W17" s="188"/>
      <c r="X17" s="194"/>
      <c r="Y17" s="207"/>
      <c r="Z17" s="188"/>
      <c r="AA17" s="188"/>
      <c r="AB17" s="188"/>
      <c r="AC17" s="188" t="s">
        <v>46</v>
      </c>
      <c r="AD17" s="188" t="s">
        <v>51</v>
      </c>
      <c r="AE17" s="188" t="s">
        <v>52</v>
      </c>
      <c r="AF17" s="194" t="s">
        <v>53</v>
      </c>
      <c r="AG17" s="207"/>
      <c r="AH17" s="188"/>
      <c r="AI17" s="188"/>
      <c r="AJ17" s="208"/>
      <c r="AK17" s="187"/>
      <c r="AL17" s="188"/>
      <c r="AM17" s="188"/>
      <c r="AN17" s="194"/>
      <c r="AO17" s="264">
        <v>0</v>
      </c>
      <c r="AP17" s="160">
        <v>0</v>
      </c>
      <c r="AQ17" s="160">
        <v>0</v>
      </c>
      <c r="AR17" s="160">
        <v>0</v>
      </c>
      <c r="AS17" s="350" t="s">
        <v>545</v>
      </c>
      <c r="AT17" s="208"/>
      <c r="AU17" s="207"/>
      <c r="AV17" s="208"/>
      <c r="AW17" s="207"/>
      <c r="AX17" s="208"/>
      <c r="AY17" s="128" t="str">
        <f t="shared" si="10"/>
        <v xml:space="preserve"> - </v>
      </c>
      <c r="AZ17" s="129" t="str">
        <f t="shared" si="10"/>
        <v xml:space="preserve"> - </v>
      </c>
      <c r="BA17" s="129" t="str">
        <f t="shared" si="10"/>
        <v xml:space="preserve"> - </v>
      </c>
      <c r="BB17" s="129" t="str">
        <f t="shared" si="10"/>
        <v xml:space="preserve"> - </v>
      </c>
      <c r="BC17" s="127" t="str">
        <f>IF(ISNUMBER(W17),W17," - ")</f>
        <v xml:space="preserve"> - </v>
      </c>
      <c r="BD17" s="128" t="str">
        <f t="shared" ref="BD17:BD19" si="12">IF(ISNUMBER(BA17/AZ17),BA17/AZ17," - ")</f>
        <v xml:space="preserve"> - </v>
      </c>
      <c r="BE17" s="129" t="str">
        <f t="shared" ref="BE17:BE19" si="13">IF(ISNUMBER(BB17/BA17),BB17/BA17, " - ")</f>
        <v xml:space="preserve"> - </v>
      </c>
      <c r="BF17" s="129" t="str">
        <f t="shared" ref="BF17:BF19" si="14">IF(ISNUMBER(BC17/BA17),BC17/BA17, " - ")</f>
        <v xml:space="preserve"> - </v>
      </c>
      <c r="BG17" s="201" t="str">
        <f t="shared" si="11"/>
        <v xml:space="preserve"> - </v>
      </c>
      <c r="BH17" s="160">
        <v>0</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598</v>
      </c>
      <c r="J18" s="188">
        <v>465</v>
      </c>
      <c r="K18" s="188">
        <v>511</v>
      </c>
      <c r="L18" s="188">
        <v>552</v>
      </c>
      <c r="M18" s="188">
        <v>7</v>
      </c>
      <c r="N18" s="188">
        <v>222</v>
      </c>
      <c r="O18" s="188">
        <v>0</v>
      </c>
      <c r="P18" s="188">
        <v>2</v>
      </c>
      <c r="Q18" s="188">
        <v>2</v>
      </c>
      <c r="R18" s="188">
        <v>0</v>
      </c>
      <c r="S18" s="188">
        <v>405</v>
      </c>
      <c r="T18" s="188">
        <v>447</v>
      </c>
      <c r="U18" s="188">
        <v>482</v>
      </c>
      <c r="V18" s="188">
        <v>370</v>
      </c>
      <c r="W18" s="188">
        <v>5</v>
      </c>
      <c r="X18" s="194">
        <v>280</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1</v>
      </c>
      <c r="AQ18" s="159">
        <v>1</v>
      </c>
      <c r="AR18" s="160">
        <v>1</v>
      </c>
      <c r="AS18" s="349" t="s">
        <v>864</v>
      </c>
      <c r="AT18" s="214"/>
      <c r="AU18" s="205"/>
      <c r="AV18" s="214"/>
      <c r="AW18" s="205"/>
      <c r="AX18" s="214"/>
      <c r="AY18" s="130">
        <f t="shared" ref="AY18:BB19" si="15">IF(ISNUMBER(S18),S18," - ")</f>
        <v>405</v>
      </c>
      <c r="AZ18" s="131">
        <f t="shared" si="15"/>
        <v>447</v>
      </c>
      <c r="BA18" s="131">
        <f t="shared" si="15"/>
        <v>482</v>
      </c>
      <c r="BB18" s="131">
        <f t="shared" si="15"/>
        <v>370</v>
      </c>
      <c r="BC18" s="127">
        <f>IF(ISNUMBER(W18),W18," - ")</f>
        <v>5</v>
      </c>
      <c r="BD18" s="128">
        <f>IF(ISNUMBER(BA18/AZ18),BA18/AZ18," - ")</f>
        <v>1.0782997762863535</v>
      </c>
      <c r="BE18" s="129">
        <f>IF(ISNUMBER(BB18/BA18),BB18/BA18, " - ")</f>
        <v>0.76763485477178428</v>
      </c>
      <c r="BF18" s="129">
        <f>IF(ISNUMBER(BC18/BA18),BC18/BA18, " - ")</f>
        <v>1.0373443983402489E-2</v>
      </c>
      <c r="BG18" s="201">
        <f>IF(ISNUMBER((AY18+AZ18)/BA18),(AY18+AZ18)/BA18," - ")</f>
        <v>1.7676348547717842</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4042</v>
      </c>
      <c r="J20" s="189">
        <f t="shared" si="16"/>
        <v>6517</v>
      </c>
      <c r="K20" s="189">
        <f t="shared" si="16"/>
        <v>6445</v>
      </c>
      <c r="L20" s="189">
        <f t="shared" si="16"/>
        <v>4135</v>
      </c>
      <c r="M20" s="189">
        <f t="shared" si="16"/>
        <v>412</v>
      </c>
      <c r="N20" s="189">
        <f t="shared" si="16"/>
        <v>4670</v>
      </c>
      <c r="O20" s="189">
        <f t="shared" si="16"/>
        <v>139</v>
      </c>
      <c r="P20" s="189">
        <f t="shared" si="16"/>
        <v>234</v>
      </c>
      <c r="Q20" s="189">
        <f t="shared" si="16"/>
        <v>225</v>
      </c>
      <c r="R20" s="189">
        <f t="shared" si="16"/>
        <v>455</v>
      </c>
      <c r="S20" s="189">
        <f t="shared" si="16"/>
        <v>3348</v>
      </c>
      <c r="T20" s="189">
        <f t="shared" si="16"/>
        <v>6096</v>
      </c>
      <c r="U20" s="189">
        <f t="shared" si="16"/>
        <v>6095</v>
      </c>
      <c r="V20" s="189">
        <f t="shared" si="16"/>
        <v>3387</v>
      </c>
      <c r="W20" s="189">
        <f t="shared" si="16"/>
        <v>395</v>
      </c>
      <c r="X20" s="189">
        <f t="shared" si="16"/>
        <v>4300</v>
      </c>
      <c r="Y20" s="189">
        <f t="shared" si="16"/>
        <v>0</v>
      </c>
      <c r="Z20" s="189">
        <f t="shared" si="16"/>
        <v>0</v>
      </c>
      <c r="AA20" s="189">
        <f t="shared" si="16"/>
        <v>0</v>
      </c>
      <c r="AB20" s="189">
        <f t="shared" si="16"/>
        <v>0</v>
      </c>
      <c r="AC20" s="189">
        <f t="shared" si="16"/>
        <v>1</v>
      </c>
      <c r="AD20" s="189">
        <f t="shared" si="16"/>
        <v>166</v>
      </c>
      <c r="AE20" s="189">
        <f t="shared" si="16"/>
        <v>165</v>
      </c>
      <c r="AF20" s="189">
        <f t="shared" si="16"/>
        <v>2</v>
      </c>
      <c r="AG20" s="189">
        <f t="shared" si="16"/>
        <v>0</v>
      </c>
      <c r="AH20" s="189">
        <f t="shared" si="16"/>
        <v>0</v>
      </c>
      <c r="AI20" s="189">
        <f t="shared" si="16"/>
        <v>0</v>
      </c>
      <c r="AJ20" s="189">
        <f t="shared" si="16"/>
        <v>0</v>
      </c>
      <c r="AK20" s="189">
        <f t="shared" si="16"/>
        <v>5</v>
      </c>
      <c r="AL20" s="189">
        <f t="shared" si="16"/>
        <v>97</v>
      </c>
      <c r="AM20" s="189">
        <f t="shared" si="16"/>
        <v>98</v>
      </c>
      <c r="AN20" s="189">
        <f t="shared" si="16"/>
        <v>4</v>
      </c>
      <c r="AO20" s="189">
        <f t="shared" si="16"/>
        <v>6</v>
      </c>
      <c r="AP20" s="189">
        <f t="shared" si="16"/>
        <v>6</v>
      </c>
      <c r="AQ20" s="189">
        <f t="shared" si="16"/>
        <v>6</v>
      </c>
      <c r="AR20" s="189">
        <f t="shared" si="16"/>
        <v>6</v>
      </c>
      <c r="AS20" s="189">
        <f t="shared" si="16"/>
        <v>0</v>
      </c>
      <c r="AT20" s="189">
        <f t="shared" si="16"/>
        <v>0</v>
      </c>
      <c r="AU20" s="209"/>
      <c r="AV20" s="134"/>
      <c r="AW20" s="209"/>
      <c r="AX20" s="134"/>
      <c r="AY20" s="189">
        <f>SUBTOTAL(9,AY15:AY19)</f>
        <v>3348</v>
      </c>
      <c r="AZ20" s="189">
        <f>SUBTOTAL(9,AZ15:AZ19)</f>
        <v>6096</v>
      </c>
      <c r="BA20" s="189">
        <f>SUBTOTAL(9,BA15:BA19)</f>
        <v>6095</v>
      </c>
      <c r="BB20" s="189">
        <f>SUBTOTAL(9,BB15:BB19)</f>
        <v>3387</v>
      </c>
      <c r="BC20" s="189">
        <f>SUBTOTAL(9,BC15:BC19)</f>
        <v>395</v>
      </c>
      <c r="BD20" s="210">
        <f>IF(ISNUMBER(BA20/AZ20),BA20/AZ20," - ")</f>
        <v>0.99983595800524938</v>
      </c>
      <c r="BE20" s="211">
        <f>IF(ISNUMBER(BB20/BA20),BB20/BA20, " - ")</f>
        <v>0.55570139458572598</v>
      </c>
      <c r="BF20" s="211">
        <f>IF(ISNUMBER(BC20/BA20),BC20/BA20, " - ")</f>
        <v>6.4807219031993435E-2</v>
      </c>
      <c r="BG20" s="212">
        <f>IF(ISNUMBER((AY20+AZ20)/BA20),(AY20+AZ20)/BA20," - ")</f>
        <v>1.5494667760459393</v>
      </c>
      <c r="BH20" s="189">
        <f>SUBTOTAL(9,BH15:BH19)</f>
        <v>6</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18455</v>
      </c>
      <c r="J21" s="136">
        <f t="shared" si="19"/>
        <v>10572</v>
      </c>
      <c r="K21" s="136">
        <f t="shared" si="19"/>
        <v>10487</v>
      </c>
      <c r="L21" s="136">
        <f t="shared" si="19"/>
        <v>18561</v>
      </c>
      <c r="M21" s="136">
        <f t="shared" si="19"/>
        <v>1212</v>
      </c>
      <c r="N21" s="136">
        <f t="shared" si="19"/>
        <v>6899</v>
      </c>
      <c r="O21" s="136">
        <f t="shared" si="19"/>
        <v>1875</v>
      </c>
      <c r="P21" s="136">
        <f t="shared" si="19"/>
        <v>1131</v>
      </c>
      <c r="Q21" s="136">
        <f t="shared" si="19"/>
        <v>1641</v>
      </c>
      <c r="R21" s="136">
        <f t="shared" si="19"/>
        <v>13738</v>
      </c>
      <c r="S21" s="136">
        <f t="shared" si="19"/>
        <v>14559</v>
      </c>
      <c r="T21" s="136">
        <f t="shared" si="19"/>
        <v>10638</v>
      </c>
      <c r="U21" s="136">
        <f t="shared" si="19"/>
        <v>9389</v>
      </c>
      <c r="V21" s="136">
        <f t="shared" si="19"/>
        <v>15912</v>
      </c>
      <c r="W21" s="136">
        <f t="shared" si="19"/>
        <v>1147</v>
      </c>
      <c r="X21" s="136">
        <f t="shared" si="19"/>
        <v>5954</v>
      </c>
      <c r="Y21" s="136">
        <f t="shared" si="19"/>
        <v>350</v>
      </c>
      <c r="Z21" s="136">
        <f t="shared" si="19"/>
        <v>353</v>
      </c>
      <c r="AA21" s="136">
        <f t="shared" si="19"/>
        <v>324</v>
      </c>
      <c r="AB21" s="136">
        <f t="shared" si="19"/>
        <v>379</v>
      </c>
      <c r="AC21" s="136">
        <f t="shared" si="19"/>
        <v>1</v>
      </c>
      <c r="AD21" s="136">
        <f t="shared" si="19"/>
        <v>166</v>
      </c>
      <c r="AE21" s="136">
        <f t="shared" si="19"/>
        <v>165</v>
      </c>
      <c r="AF21" s="136">
        <f t="shared" si="19"/>
        <v>2</v>
      </c>
      <c r="AG21" s="136">
        <f t="shared" si="19"/>
        <v>251</v>
      </c>
      <c r="AH21" s="136">
        <f t="shared" si="19"/>
        <v>287</v>
      </c>
      <c r="AI21" s="136">
        <f t="shared" si="19"/>
        <v>302</v>
      </c>
      <c r="AJ21" s="136">
        <f t="shared" si="19"/>
        <v>236</v>
      </c>
      <c r="AK21" s="136">
        <f t="shared" si="19"/>
        <v>5</v>
      </c>
      <c r="AL21" s="136">
        <f t="shared" si="19"/>
        <v>97</v>
      </c>
      <c r="AM21" s="136">
        <f t="shared" si="19"/>
        <v>98</v>
      </c>
      <c r="AN21" s="215">
        <f t="shared" si="19"/>
        <v>4</v>
      </c>
      <c r="AO21" s="216">
        <v>14</v>
      </c>
      <c r="AP21" s="216">
        <v>14</v>
      </c>
      <c r="AQ21" s="216">
        <v>14</v>
      </c>
      <c r="AR21" s="216">
        <v>14</v>
      </c>
      <c r="AS21" s="158">
        <f t="shared" si="19"/>
        <v>0</v>
      </c>
      <c r="AT21" s="158">
        <f t="shared" si="19"/>
        <v>0</v>
      </c>
      <c r="AU21" s="216"/>
      <c r="AV21" s="217"/>
      <c r="AW21" s="216"/>
      <c r="AX21" s="217"/>
      <c r="AY21" s="135">
        <f>SUBTOTAL(9,AY9:AY20)</f>
        <v>14810</v>
      </c>
      <c r="AZ21" s="136">
        <f>SUBTOTAL(9,AZ9:AZ20)</f>
        <v>10925</v>
      </c>
      <c r="BA21" s="136">
        <f>SUBTOTAL(9,BA9:BA20)</f>
        <v>9691</v>
      </c>
      <c r="BB21" s="136">
        <f>SUBTOTAL(9,BB9:BB20)</f>
        <v>16148</v>
      </c>
      <c r="BC21" s="137">
        <f>SUBTOTAL(9,BC9:BC20)</f>
        <v>2042</v>
      </c>
      <c r="BD21" s="218">
        <f>IF(ISNUMBER(BA21/AZ21),BA21/AZ21," - ")</f>
        <v>0.88704805491990846</v>
      </c>
      <c r="BE21" s="215">
        <f>IF(ISNUMBER(BB21/BA21),BB21/BA21, " - ")</f>
        <v>1.6662883087400682</v>
      </c>
      <c r="BF21" s="215">
        <f>IF(ISNUMBER(BC21/BA21),BC21/BA21, " - ")</f>
        <v>0.21071096894025385</v>
      </c>
      <c r="BG21" s="137">
        <f>IF(ISNUMBER((AY21+AZ21)/BA21),(AY21+AZ21)/BA21," - ")</f>
        <v>2.6555567020947271</v>
      </c>
      <c r="BH21" s="216">
        <f>SUBTOTAL(9,BH9:BH20)</f>
        <v>15</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PqW+sgYA2f8TwXjLMVCVyuJw2j+vgALI7yk3S80u3f5SqK7ApbxDgzMmqLpxmawwIUasglGNr6ThQwXDaQZw9A==" saltValue="DDXSx6s9hxtnmSEVpFUyL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Q2tGJxFclfmSdjcPFzztnYUZY2fVKEUMoaJc4lLa4Ud0RY4cCAh30RAdEMxozOG2Je43qI36TgnF3cfk0006qg==" saltValue="QoXoJQkPJCxbYnb42CanA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L'HOSPITALET DE LLOBREGAT</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8</v>
      </c>
      <c r="B9" s="653" t="s">
        <v>273</v>
      </c>
      <c r="C9" s="671" t="str">
        <f>Datos!A9</f>
        <v xml:space="preserve">Jdos. 1ª Instancia   </v>
      </c>
      <c r="D9" s="544"/>
      <c r="E9" s="670">
        <f>IF(ISNUMBER(Datos!AQ9),Datos!AQ9," - ")</f>
        <v>8</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f>IF(ISNUMBER(Datos!Z9),Datos!Z9," - ")</f>
        <v>353</v>
      </c>
      <c r="O9" s="504"/>
      <c r="P9" s="504"/>
      <c r="Q9" s="502">
        <f>IF(ISNUMBER(Datos!P9),Datos!P9,0)</f>
        <v>891</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f>IF(ISNUMBER(Datos!Q9),Datos!Q9," - ")</f>
        <v>1409</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f>IF(ISNUMBER(Datos!AB9),Datos!AB9,"-")</f>
        <v>379</v>
      </c>
      <c r="AI9" s="504" t="str">
        <f>IF(ISNUMBER(Datos!CD9),Datos!CD9,"-")</f>
        <v>-</v>
      </c>
      <c r="AJ9" s="504" t="str">
        <f>IF(ISNUMBER(Datos!EN9),Datos!EN9," - ")</f>
        <v xml:space="preserve"> - </v>
      </c>
      <c r="AK9" s="504"/>
      <c r="AL9" s="505"/>
      <c r="AM9" s="672">
        <f>IF(ISNUMBER(Datos!R9),Datos!R9," - ")</f>
        <v>13131</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f>IF(ISNUMBER(Datos!M9),Datos!M9," - ")</f>
        <v>778</v>
      </c>
      <c r="BD9" s="620">
        <f>IF(ISNUMBER(Datos!N9),Datos!N9," - ")</f>
        <v>2204</v>
      </c>
      <c r="BE9" s="620" t="str">
        <f>IF(ISNUMBER(Datos!BW9),Datos!BW9," - ")</f>
        <v xml:space="preserve"> - </v>
      </c>
      <c r="BF9" s="668" t="str">
        <f>IF(ISNUMBER(Datos!BX9),Datos!BX9," - ")</f>
        <v xml:space="preserve"> - </v>
      </c>
      <c r="BG9" s="669">
        <f>IF(ISNUMBER(IF(J_V="SI",Datos!K9/Datos!J9,(Datos!K9+Datos!AA9)/(Datos!J9+Datos!Z9))),IF(J_V="SI",Datos!K9/Datos!J9,(Datos!K9+Datos!AA9)/(Datos!J9+Datos!Z9))," - ")</f>
        <v>0.9921821108300759</v>
      </c>
      <c r="BH9" s="670">
        <f>IF(ISNUMBER(((IF(J_V="SI",Datos!L9/Datos!K9,(Datos!L9+Datos!AB9)/(Datos!K9+Datos!AA9)))*11)/factor_trimestre),((IF(J_V="SI",Datos!L9/Datos!K9,(Datos!L9+Datos!AB9)/(Datos!K9+Datos!AA9)))*11)/factor_trimestre," - ")</f>
        <v>10.154113557358054</v>
      </c>
      <c r="BI9" s="669"/>
      <c r="BJ9" s="510" t="str">
        <f>IF(ISNUMBER(Datos!CI9/Datos!CJ9),Datos!CI9/Datos!CJ9," - ")</f>
        <v xml:space="preserve"> - </v>
      </c>
      <c r="BK9" s="656" t="str">
        <f>IF(ISNUMBER(Datos!CJ9),Datos!CJ9," - ")</f>
        <v xml:space="preserve"> - </v>
      </c>
      <c r="BL9" s="510" t="str">
        <f>IF(ISNUMBER((J9-AB9+L9)/(F9)),(J9-AB9+L9)/(F9)," - ")</f>
        <v xml:space="preserve"> - </v>
      </c>
      <c r="BM9" s="673">
        <f>IF(ISNUMBER((Datos!P9-Datos!Q9+Datos!DE9)/(Datos!R9-Datos!P9+Datos!Q9-Datos!DE9)),(Datos!P9-Datos!Q9+Datos!DE9)/(Datos!R9-Datos!P9+Datos!Q9-Datos!DE9)," - ")</f>
        <v>-3.7951498278262143E-2</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1</v>
      </c>
      <c r="F10" s="507">
        <f>IF(ISNUMBER(Datos!L10+Datos!K10-Datos!J10),Datos!L10+Datos!K10-Datos!J10," - ")</f>
        <v>192</v>
      </c>
      <c r="G10" s="498">
        <f>IF(ISNUMBER(Datos!I10),Datos!I10," - ")</f>
        <v>192</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6</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51</v>
      </c>
      <c r="AC10" s="502">
        <f>IF(ISNUMBER(Datos!Q10),Datos!Q10," - ")</f>
        <v>7</v>
      </c>
      <c r="AD10" s="504"/>
      <c r="AE10" s="517"/>
      <c r="AF10" s="506">
        <f>IF(ISNUMBER(Datos!L10),Datos!L10,"-")</f>
        <v>200</v>
      </c>
      <c r="AG10" s="504"/>
      <c r="AH10" s="504"/>
      <c r="AI10" s="504"/>
      <c r="AJ10" s="504"/>
      <c r="AK10" s="504"/>
      <c r="AL10" s="505"/>
      <c r="AM10" s="672">
        <f>IF(ISNUMBER(Datos!R10),Datos!R10," - ")</f>
        <v>152</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22</v>
      </c>
      <c r="BD10" s="620">
        <f>IF(ISNUMBER(Datos!N10),Datos!N10," - ")</f>
        <v>25</v>
      </c>
      <c r="BE10" s="620" t="str">
        <f>IF(ISNUMBER(Datos!BW10),Datos!BW10," - ")</f>
        <v xml:space="preserve"> - </v>
      </c>
      <c r="BF10" s="668" t="str">
        <f>IF(ISNUMBER(Datos!BX10),Datos!BX10," - ")</f>
        <v xml:space="preserve"> - </v>
      </c>
      <c r="BG10" s="669">
        <f>IF(ISNUMBER(Datos!K10/Datos!J10),Datos!K10/Datos!J10," - ")</f>
        <v>0.86440677966101698</v>
      </c>
      <c r="BH10" s="670">
        <f>IF(ISNUMBER(((Datos!L10/Datos!K10)*11)/factor_trimestre),((Datos!L10/Datos!K10)*11)/factor_trimestre," - ")</f>
        <v>11.76470588235294</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-6.5359477124183009E-3</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0</v>
      </c>
      <c r="B12" s="654" t="s">
        <v>273</v>
      </c>
      <c r="C12" s="655" t="str">
        <f>Datos!A12</f>
        <v xml:space="preserve">Jdos. 1ª Instª. e Instr.                        </v>
      </c>
      <c r="D12" s="549"/>
      <c r="E12" s="670">
        <f>IF(ISNUMBER(Datos!AQ12),Datos!AQ12," - ")</f>
        <v>0</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t="str">
        <f>IF(ISNUMBER(Datos!Z12),Datos!Z12," - ")</f>
        <v xml:space="preserve"> - </v>
      </c>
      <c r="O12" s="504"/>
      <c r="P12" s="504"/>
      <c r="Q12" s="502">
        <f>IF(ISNUMBER(Datos!P12),Datos!P12,0)</f>
        <v>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t="str">
        <f>IF(ISNUMBER(Datos!Q12),Datos!Q12," - ")</f>
        <v xml:space="preserve"> - </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t="str">
        <f>IF(ISNUMBER(Datos!AB12),Datos!AB12,"-")</f>
        <v>-</v>
      </c>
      <c r="AI12" s="504" t="str">
        <f>IF(ISNUMBER(Datos!CD12),Datos!CD12,"-")</f>
        <v>-</v>
      </c>
      <c r="AJ12" s="504" t="str">
        <f>IF(ISNUMBER(Datos!EN12),Datos!EN12," - ")</f>
        <v xml:space="preserve"> - </v>
      </c>
      <c r="AK12" s="504"/>
      <c r="AL12" s="505"/>
      <c r="AM12" s="672" t="str">
        <f>IF(ISNUMBER(Datos!R12),Datos!R12," - ")</f>
        <v xml:space="preserve"> - </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t="str">
        <f>IF(ISNUMBER(Datos!M12),Datos!M12," - ")</f>
        <v xml:space="preserve"> - </v>
      </c>
      <c r="BD12" s="620" t="str">
        <f>IF(ISNUMBER(Datos!N12),Datos!N12," - ")</f>
        <v xml:space="preserve"> - </v>
      </c>
      <c r="BE12" s="620" t="str">
        <f>IF(ISNUMBER(Datos!BW12),Datos!BW12," - ")</f>
        <v xml:space="preserve"> - </v>
      </c>
      <c r="BF12" s="668" t="str">
        <f>IF(ISNUMBER(Datos!BX12),Datos!BX12," - ")</f>
        <v xml:space="preserve"> - </v>
      </c>
      <c r="BG12" s="669" t="str">
        <f>IF(ISNUMBER(IF(J_V="SI",Datos!K12/Datos!J12,(Datos!K12+Datos!AA12)/(Datos!J12+Datos!Z12))),IF(J_V="SI",Datos!K12/Datos!J12,(Datos!K12+Datos!AA12)/(Datos!J12+Datos!Z12))," - ")</f>
        <v xml:space="preserve"> - </v>
      </c>
      <c r="BH12" s="670" t="str">
        <f>IF(ISNUMBER(((IF(J_V="SI",Datos!L12/Datos!K12,(Datos!L12+Datos!AB12)/(Datos!K12+Datos!AA12)))*11)/factor_trimestre),((IF(J_V="SI",Datos!L12/Datos!K12,(Datos!L12+Datos!AB12)/(Datos!K12+Datos!AA12)))*11)/factor_trimestre," - ")</f>
        <v xml:space="preserve"> - </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t="str">
        <f>IF(ISNUMBER((Datos!P12-Datos!Q12+Datos!DE12)/(Datos!R12-Datos!P12+Datos!Q12-Datos!DE12)),(Datos!P12-Datos!Q12+Datos!DE12)/(Datos!R12-Datos!P12+Datos!Q12-Datos!DE12)," - ")</f>
        <v xml:space="preserve"> - </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9</v>
      </c>
      <c r="F14" s="1045">
        <f t="shared" si="1"/>
        <v>192</v>
      </c>
      <c r="G14" s="1045">
        <f t="shared" si="1"/>
        <v>192</v>
      </c>
      <c r="H14" s="1046">
        <f t="shared" si="1"/>
        <v>0</v>
      </c>
      <c r="I14" s="1045">
        <f t="shared" si="1"/>
        <v>0</v>
      </c>
      <c r="J14" s="1014">
        <f t="shared" si="1"/>
        <v>0</v>
      </c>
      <c r="K14" s="1014">
        <f t="shared" si="1"/>
        <v>0</v>
      </c>
      <c r="L14" s="1046">
        <f t="shared" si="1"/>
        <v>0</v>
      </c>
      <c r="M14" s="1046">
        <f t="shared" si="1"/>
        <v>0</v>
      </c>
      <c r="N14" s="1046">
        <f t="shared" si="1"/>
        <v>353</v>
      </c>
      <c r="O14" s="1047">
        <f t="shared" si="1"/>
        <v>0</v>
      </c>
      <c r="P14" s="1047">
        <f t="shared" si="1"/>
        <v>0</v>
      </c>
      <c r="Q14" s="1046">
        <f t="shared" si="1"/>
        <v>897</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51</v>
      </c>
      <c r="AC14" s="1046">
        <f t="shared" si="2"/>
        <v>1416</v>
      </c>
      <c r="AD14" s="1046">
        <f t="shared" si="2"/>
        <v>0</v>
      </c>
      <c r="AE14" s="1046">
        <f t="shared" si="2"/>
        <v>0</v>
      </c>
      <c r="AF14" s="1046">
        <f t="shared" si="2"/>
        <v>200</v>
      </c>
      <c r="AG14" s="1046">
        <f t="shared" si="2"/>
        <v>0</v>
      </c>
      <c r="AH14" s="1046">
        <f t="shared" si="2"/>
        <v>379</v>
      </c>
      <c r="AI14" s="1046">
        <f t="shared" si="2"/>
        <v>0</v>
      </c>
      <c r="AJ14" s="1046">
        <f t="shared" si="2"/>
        <v>0</v>
      </c>
      <c r="AK14" s="1046">
        <f t="shared" si="2"/>
        <v>0</v>
      </c>
      <c r="AL14" s="1046">
        <f t="shared" si="2"/>
        <v>0</v>
      </c>
      <c r="AM14" s="1046">
        <f t="shared" si="2"/>
        <v>13283</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800</v>
      </c>
      <c r="BD14" s="1046">
        <f t="shared" si="2"/>
        <v>2229</v>
      </c>
      <c r="BE14" s="1046">
        <f t="shared" si="2"/>
        <v>0</v>
      </c>
      <c r="BF14" s="1046">
        <f t="shared" si="2"/>
        <v>0</v>
      </c>
      <c r="BG14" s="1046">
        <f>IF(ISNUMBER(Datos!K14/Datos!J14),Datos!K14/Datos!J14," - ")</f>
        <v>0.99679408138101111</v>
      </c>
      <c r="BH14" s="1050">
        <f>IF(ISNUMBER(((Datos!L14/Datos!K14)*11)/factor_trimestre),((Datos!L14/Datos!K14)*11)/factor_trimestre," - ")</f>
        <v>10.707075705096488</v>
      </c>
      <c r="BI14" s="1046">
        <f>IF(ISNUMBER('Resol  Asuntos'!D14/NºAsuntos!G14),'Resol  Asuntos'!D14/NºAsuntos!G14," - ")</f>
        <v>0.18323408153916629</v>
      </c>
      <c r="BJ14" s="1046" t="str">
        <f>IF(ISNUMBER(Datos!CI14/Datos!CJ14),Datos!CI14/Datos!CJ14," - ")</f>
        <v xml:space="preserve"> - </v>
      </c>
      <c r="BK14" s="1046">
        <f>SUBTOTAL(9,BK8:BK13)</f>
        <v>0</v>
      </c>
      <c r="BL14" s="1046">
        <f>IF(ISNUMBER((I14-AB14+L14)/(F14)),(I14-AB14+L14)/(F14)," - ")</f>
        <v>-0.265625</v>
      </c>
      <c r="BM14" s="1051">
        <f>SUBTOTAL(9,BM9:BM13)</f>
        <v>-4.4487445990680441E-2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5</v>
      </c>
      <c r="B16" s="647" t="s">
        <v>437</v>
      </c>
      <c r="C16" s="657" t="str">
        <f>Datos!A16</f>
        <v xml:space="preserve">Jdos. Instrucción                               </v>
      </c>
      <c r="D16" s="658"/>
      <c r="E16" s="1334">
        <f>IF(ISNUMBER(Datos!AQ16),Datos!AQ16," - ")</f>
        <v>5</v>
      </c>
      <c r="F16" s="648">
        <f>IF(ISNUMBER(AF16+AB16-Datos!J16-L16),AF16+AB16-Datos!J16-L16," - ")</f>
        <v>3465</v>
      </c>
      <c r="G16" s="651">
        <f>IF(ISNUMBER(IF(D_I="SI",Datos!I16,Datos!I16+Datos!AC16)),IF(D_I="SI",Datos!I16,Datos!I16+Datos!AC16)," - ")</f>
        <v>3444</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232</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f>IF(ISNUMBER(IF(D_I="SI",Datos!K16,Datos!K16+Datos!AE16)),IF(D_I="SI",Datos!K16,Datos!K16+Datos!AE16)," - ")</f>
        <v>5934</v>
      </c>
      <c r="AC16" s="231">
        <f>IF(ISNUMBER(Datos!Q16),Datos!Q16," - ")</f>
        <v>223</v>
      </c>
      <c r="AD16" s="344"/>
      <c r="AE16" s="516"/>
      <c r="AF16" s="649">
        <f>IF(ISNUMBER(IF(D_I="SI",Datos!L16,Datos!L16+Datos!AF16)),IF(D_I="SI",Datos!L16,Datos!L16+Datos!AF16)," - ")</f>
        <v>3583</v>
      </c>
      <c r="AG16" s="344"/>
      <c r="AH16" s="344"/>
      <c r="AI16" s="344"/>
      <c r="AJ16" s="504"/>
      <c r="AK16" s="344"/>
      <c r="AL16" s="500"/>
      <c r="AM16" s="345">
        <f>IF(ISNUMBER(Datos!R16),Datos!R16," - ")</f>
        <v>455</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f>IF(ISNUMBER(Datos!M16),Datos!M16," - ")</f>
        <v>405</v>
      </c>
      <c r="BD16" s="234">
        <f>IF(ISNUMBER(Datos!N16),Datos!N16," - ")</f>
        <v>4448</v>
      </c>
      <c r="BE16" s="234" t="str">
        <f>IF(ISNUMBER(Datos!BW16),Datos!BW16," - ")</f>
        <v xml:space="preserve"> - </v>
      </c>
      <c r="BF16" s="233" t="str">
        <f>IF(ISNUMBER(Datos!BX16),Datos!BX16," - ")</f>
        <v xml:space="preserve"> - </v>
      </c>
      <c r="BG16" s="669">
        <f>IF(ISNUMBER(IF(D_I="SI",Datos!K16/Datos!J16,(Datos!K16+Datos!AE16)/(Datos!J16+Datos!AD16))),IF(D_I="SI",Datos!K16/Datos!J16,(Datos!K16+Datos!AE16)/(Datos!J16+Datos!AD16))," - ")</f>
        <v>0.98050231328486448</v>
      </c>
      <c r="BH16" s="670">
        <f>IF(ISNUMBER(((IF(D_I="SI",Datos!L16/Datos!K16,(Datos!L16+Datos!AF16)/(Datos!K16+Datos!AE16)))*11)/factor_trimestre),((IF(D_I="SI",Datos!L16/Datos!K16,(Datos!L16+Datos!AF16)/(Datos!K16+Datos!AE16)))*11)/factor_trimestre," - ")</f>
        <v>1.8114256825075834</v>
      </c>
      <c r="BI16" s="248">
        <f>IF(ISNUMBER('Resol  Asuntos'!D16/NºAsuntos!G16),'Resol  Asuntos'!D16/NºAsuntos!G16," - ")</f>
        <v>6.8250758341759352E-2</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0</v>
      </c>
      <c r="B17" s="647" t="s">
        <v>437</v>
      </c>
      <c r="C17" s="657" t="str">
        <f>Datos!A17</f>
        <v xml:space="preserve">Jdos. 1ª Instª. e Instr.                        </v>
      </c>
      <c r="D17" s="658"/>
      <c r="E17" s="1334">
        <f>IF(ISNUMBER(Datos!AQ17),Datos!AQ17," - ")</f>
        <v>0</v>
      </c>
      <c r="F17" s="648" t="str">
        <f>IF(ISNUMBER(AF17+AB17-Datos!J17-L17),AF17+AB17-Datos!J17-L17," - ")</f>
        <v xml:space="preserve"> - </v>
      </c>
      <c r="G17" s="651" t="str">
        <f>IF(ISNUMBER(IF(D_I="SI",Datos!I17,Datos!I17+Datos!AC17)),IF(D_I="SI",Datos!I17,Datos!I17+Datos!AC17)," - ")</f>
        <v xml:space="preserve"> - </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0</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t="str">
        <f>IF(ISNUMBER(IF(D_I="SI",Datos!K17,Datos!K17+Datos!AE17)),IF(D_I="SI",Datos!K17,Datos!K17+Datos!AE17)," - ")</f>
        <v xml:space="preserve"> - </v>
      </c>
      <c r="AC17" s="231" t="str">
        <f>IF(ISNUMBER(Datos!Q17),Datos!Q17," - ")</f>
        <v xml:space="preserve"> - </v>
      </c>
      <c r="AD17" s="344"/>
      <c r="AE17" s="516"/>
      <c r="AF17" s="649" t="str">
        <f>IF(ISNUMBER(IF(D_I="SI",Datos!L17,Datos!L17+Datos!AF17)),IF(D_I="SI",Datos!L17,Datos!L17+Datos!AF17)," - ")</f>
        <v xml:space="preserve"> - </v>
      </c>
      <c r="AG17" s="344"/>
      <c r="AH17" s="344"/>
      <c r="AI17" s="344"/>
      <c r="AJ17" s="504"/>
      <c r="AK17" s="344"/>
      <c r="AL17" s="500"/>
      <c r="AM17" s="345" t="str">
        <f>IF(ISNUMBER(Datos!R17),Datos!R17," - ")</f>
        <v xml:space="preserve"> - </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t="str">
        <f>IF(ISNUMBER(Datos!M17),Datos!M17," - ")</f>
        <v xml:space="preserve"> - </v>
      </c>
      <c r="BD17" s="234" t="str">
        <f>IF(ISNUMBER(Datos!N17),Datos!N17," - ")</f>
        <v xml:space="preserve"> - </v>
      </c>
      <c r="BE17" s="234" t="str">
        <f>IF(ISNUMBER(Datos!BW17),Datos!BW17," - ")</f>
        <v xml:space="preserve"> - </v>
      </c>
      <c r="BF17" s="233" t="str">
        <f>IF(ISNUMBER(Datos!BX17),Datos!BX17," - ")</f>
        <v xml:space="preserve"> - </v>
      </c>
      <c r="BG17" s="669" t="str">
        <f>IF(ISNUMBER(IF(D_I="SI",Datos!K17/Datos!J17,(Datos!K17+Datos!AE17)/(Datos!J17+Datos!AD17))),IF(D_I="SI",Datos!K17/Datos!J17,(Datos!K17+Datos!AE17)/(Datos!J17+Datos!AD17))," - ")</f>
        <v xml:space="preserve"> - </v>
      </c>
      <c r="BH17" s="670" t="str">
        <f>IF(ISNUMBER(((IF(D_I="SI",Datos!L17/Datos!K17,(Datos!L17+Datos!AF17)/(Datos!K17+Datos!AE17)))*11)/factor_trimestre),((IF(D_I="SI",Datos!L17/Datos!K17,(Datos!L17+Datos!AF17)/(Datos!K17+Datos!AE17)))*11)/factor_trimestre," - ")</f>
        <v xml:space="preserve"> - </v>
      </c>
      <c r="BI17" s="248" t="str">
        <f>IF(ISNUMBER('Resol  Asuntos'!D17/NºAsuntos!G17),'Resol  Asuntos'!D17/NºAsuntos!G17," - ")</f>
        <v xml:space="preserve"> - </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1</v>
      </c>
      <c r="F18" s="507" t="str">
        <f>IF(ISNUMBER(AF18+AB18-I18-L18),AF18+AB18-I18-L18," - ")</f>
        <v xml:space="preserve"> - </v>
      </c>
      <c r="G18" s="498">
        <f>IF(ISNUMBER(IF(D_I="SI",Datos!I18,Datos!I18+Datos!AC18)),IF(D_I="SI",Datos!I18,Datos!I18+Datos!AC18)," - ")</f>
        <v>598</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2</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511</v>
      </c>
      <c r="AC18" s="502">
        <f>IF(ISNUMBER(Datos!Q18),Datos!Q18," - ")</f>
        <v>2</v>
      </c>
      <c r="AD18" s="504"/>
      <c r="AE18" s="516"/>
      <c r="AF18" s="506">
        <f>IF(ISNUMBER(Datos!L18),Datos!L18,"-")</f>
        <v>552</v>
      </c>
      <c r="AG18" s="504"/>
      <c r="AH18" s="504"/>
      <c r="AI18" s="504"/>
      <c r="AJ18" s="504"/>
      <c r="AK18" s="504"/>
      <c r="AL18" s="505"/>
      <c r="AM18" s="672">
        <f>IF(ISNUMBER(Datos!R18),Datos!R18," - ")</f>
        <v>0</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7</v>
      </c>
      <c r="BD18" s="620">
        <f>IF(ISNUMBER(Datos!N18),Datos!N18," - ")</f>
        <v>222</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1.0989247311827957</v>
      </c>
      <c r="BH18" s="670">
        <f>IF(ISNUMBER(((IF(D_I="SI",Datos!L18/Datos!K18,(Datos!L18+Datos!AF18)/(Datos!K18+Datos!AE18)))*11)/factor_trimestre),((IF(D_I="SI",Datos!L18/Datos!K18,(Datos!L18+Datos!AF18)/(Datos!K18+Datos!AE18)))*11)/factor_trimestre," - ")</f>
        <v>3.2407045009784738</v>
      </c>
      <c r="BI18" s="669">
        <f>IF(ISNUMBER('Resol  Asuntos'!D18/NºAsuntos!G18),'Resol  Asuntos'!D18/NºAsuntos!G18," - ")</f>
        <v>1.3698630136986301E-2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6</v>
      </c>
      <c r="F20" s="1045">
        <f>SUBTOTAL(9,F16:F19)</f>
        <v>3465</v>
      </c>
      <c r="G20" s="1045">
        <f>SUBTOTAL(9,G16:G19)</f>
        <v>4042</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234</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6445</v>
      </c>
      <c r="AC20" s="1046">
        <f t="shared" si="5"/>
        <v>225</v>
      </c>
      <c r="AD20" s="1046">
        <f t="shared" si="5"/>
        <v>0</v>
      </c>
      <c r="AE20" s="1046">
        <f t="shared" si="5"/>
        <v>0</v>
      </c>
      <c r="AF20" s="1046">
        <f t="shared" si="5"/>
        <v>4135</v>
      </c>
      <c r="AG20" s="1046">
        <f t="shared" si="5"/>
        <v>0</v>
      </c>
      <c r="AH20" s="1046">
        <f t="shared" si="5"/>
        <v>0</v>
      </c>
      <c r="AI20" s="1046">
        <f t="shared" si="5"/>
        <v>0</v>
      </c>
      <c r="AJ20" s="1046">
        <f t="shared" si="5"/>
        <v>0</v>
      </c>
      <c r="AK20" s="1046">
        <f t="shared" si="5"/>
        <v>0</v>
      </c>
      <c r="AL20" s="1046">
        <f t="shared" si="5"/>
        <v>0</v>
      </c>
      <c r="AM20" s="1046">
        <f t="shared" si="5"/>
        <v>455</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412</v>
      </c>
      <c r="BD20" s="1046">
        <f t="shared" si="5"/>
        <v>4670</v>
      </c>
      <c r="BE20" s="1046">
        <f t="shared" si="5"/>
        <v>0</v>
      </c>
      <c r="BF20" s="1046">
        <f t="shared" si="5"/>
        <v>0</v>
      </c>
      <c r="BG20" s="1046">
        <f>IF(ISNUMBER(Datos!K20/Datos!J20),Datos!K20/Datos!J20," - ")</f>
        <v>0.98895197176615002</v>
      </c>
      <c r="BH20" s="1050">
        <f>IF(ISNUMBER(((Datos!L20/Datos!K20)*11)/factor_trimestre),((Datos!L20/Datos!K20)*11)/factor_trimestre," - ")</f>
        <v>1.9247478665632274</v>
      </c>
      <c r="BI20" s="1046">
        <f>SUBTOTAL(9,BI16:BI19)</f>
        <v>8.1949388478745652E-2</v>
      </c>
      <c r="BJ20" s="1046">
        <f>SUBTOTAL(9,BJ16:BJ19)</f>
        <v>0</v>
      </c>
      <c r="BK20" s="1046">
        <f>SUBTOTAL(9,BK16:BK19)</f>
        <v>0</v>
      </c>
      <c r="BL20" s="1046">
        <f>IF(ISNUMBER((I20-AB20+L20)/(F20)),(I20-AB20+L20)/(F20)," - ")</f>
        <v>-1.8600288600288599</v>
      </c>
      <c r="BM20" s="1052">
        <f>IF(ISNUMBER((Datos!P20-Datos!Q20)/(Datos!R20-Datos!P20+Datos!Q20)),(Datos!P20-Datos!Q20)/(Datos!R20-Datos!P20+Datos!Q20)," - ")</f>
        <v>2.0179372197309416E-2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15</v>
      </c>
      <c r="F21" s="967">
        <f t="shared" si="7"/>
        <v>3657</v>
      </c>
      <c r="G21" s="967">
        <f t="shared" si="7"/>
        <v>4234</v>
      </c>
      <c r="H21" s="969">
        <f t="shared" si="7"/>
        <v>0</v>
      </c>
      <c r="I21" s="967">
        <f t="shared" si="7"/>
        <v>0</v>
      </c>
      <c r="J21" s="969">
        <f t="shared" si="7"/>
        <v>0</v>
      </c>
      <c r="K21" s="969">
        <f t="shared" si="7"/>
        <v>0</v>
      </c>
      <c r="L21" s="1028">
        <f t="shared" si="7"/>
        <v>0</v>
      </c>
      <c r="M21" s="1028">
        <f t="shared" si="7"/>
        <v>0</v>
      </c>
      <c r="N21" s="1028">
        <f t="shared" si="7"/>
        <v>353</v>
      </c>
      <c r="O21" s="1028">
        <f t="shared" si="7"/>
        <v>0</v>
      </c>
      <c r="P21" s="1028">
        <f t="shared" si="7"/>
        <v>0</v>
      </c>
      <c r="Q21" s="969">
        <f t="shared" si="7"/>
        <v>1131</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6496</v>
      </c>
      <c r="AC21" s="968">
        <f t="shared" si="8"/>
        <v>1641</v>
      </c>
      <c r="AD21" s="968">
        <f t="shared" si="8"/>
        <v>0</v>
      </c>
      <c r="AE21" s="968">
        <f t="shared" si="8"/>
        <v>0</v>
      </c>
      <c r="AF21" s="975">
        <f t="shared" si="8"/>
        <v>4335</v>
      </c>
      <c r="AG21" s="975">
        <f t="shared" si="8"/>
        <v>0</v>
      </c>
      <c r="AH21" s="975">
        <f t="shared" si="8"/>
        <v>379</v>
      </c>
      <c r="AI21" s="975">
        <f t="shared" si="8"/>
        <v>0</v>
      </c>
      <c r="AJ21" s="968">
        <f t="shared" si="8"/>
        <v>0</v>
      </c>
      <c r="AK21" s="975">
        <f t="shared" si="8"/>
        <v>0</v>
      </c>
      <c r="AL21" s="975">
        <f t="shared" si="8"/>
        <v>0</v>
      </c>
      <c r="AM21" s="975">
        <f t="shared" si="8"/>
        <v>13738</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1212</v>
      </c>
      <c r="BD21" s="967">
        <f t="shared" si="8"/>
        <v>6899</v>
      </c>
      <c r="BE21" s="967">
        <f t="shared" si="8"/>
        <v>0</v>
      </c>
      <c r="BF21" s="977">
        <f t="shared" si="8"/>
        <v>0</v>
      </c>
      <c r="BG21" s="1062">
        <f>IF(ISNUMBER(Datos!K21/Datos!J21),Datos!K21/Datos!J21," - ")</f>
        <v>0.99195989405978058</v>
      </c>
      <c r="BH21" s="1062">
        <f>IF(ISNUMBER(((Datos!L21/Datos!K21)*11)/factor_trimestre),((Datos!L21/Datos!K21)*11)/factor_trimestre," - ")</f>
        <v>5.3097167922189374</v>
      </c>
      <c r="BI21" s="960">
        <f>IF(ISNUMBER(Datos!J21/Datos!I21),Datos!J21/Datos!I21," - ")</f>
        <v>0.57285288539691137</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-1.7763193874760732</v>
      </c>
      <c r="BM21" s="1036">
        <f>IF(ISNUMBER((Datos!P21-Datos!Q21+R21)/(Datos!R21-Datos!P21+Datos!Q21-R21)),(Datos!P21-Datos!Q21+R21)/(Datos!R21-Datos!P21+Datos!Q21-R21)," - ")</f>
        <v>-3.5794497473329592E-2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1693.6</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3.5522080201167583</v>
      </c>
      <c r="F23" s="600">
        <f>IF(ISNUMBER(STDEV(F8:F20)),STDEV(F8:F20),"-")</f>
        <v>1889.6674310576452</v>
      </c>
      <c r="G23" s="601">
        <f>IF(ISNUMBER(STDEV(G8:G20)),STDEV(G8:G20),"-")</f>
        <v>1890.0282537570702</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3288.5517785189272</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346.49386718959397</v>
      </c>
      <c r="BD23" s="600"/>
      <c r="BE23" s="600">
        <f>IF(ISNUMBER(STDEV(BE8:BE20)),STDEV(BE8:BE20),"-")</f>
        <v>0</v>
      </c>
      <c r="BF23" s="605">
        <f>IF(ISNUMBER(STDEV(BF8:BF20)),STDEV(BF8:BF20),"-")</f>
        <v>0</v>
      </c>
      <c r="BG23" s="915">
        <f>IF(ISNUMBER(STDEV(BG8:BG20)),STDEV(BG8:BG20),"-")</f>
        <v>7.4464813316075906E-2</v>
      </c>
      <c r="BH23" s="919">
        <f>IF(ISNUMBER(STDEV(BH8:BH20)),STDEV(BH8:BH20),"-")</f>
        <v>4.7380855279433742</v>
      </c>
      <c r="BI23" s="254">
        <f>IF(ISNUMBER(STDEV(BI8:BI20)),STDEV(BI8:BI20),"-")</f>
        <v>7.0736468739922925E-2</v>
      </c>
      <c r="BJ23" s="235" t="str">
        <f>IF(ISNUMBER(BL23/BM23),BL23/BM23," - ")</f>
        <v xml:space="preserve"> - </v>
      </c>
      <c r="BK23" s="627"/>
      <c r="BL23" s="608">
        <f>IF(ISNUMBER(STDEV(BL8:BL20)),STDEV(BL8:BL20),"-")</f>
        <v>1.1274137813764138</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Sm7Km9IXhMwBBcp666ynLZmrbiyALwMpNAtkP53D5jsurTX7+/MO7KqMTgkNWQ4Ze4WwrGDYcWnjf3MVPqI2kg==" saltValue="n/tAUSSkL5Sw5P+RWg3H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L'HOSPITALET DE LLOBREGAT</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8</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891</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f>IF(ISNUMBER(Datos!Q9),Datos!Q9," - ")</f>
        <v>1409</v>
      </c>
      <c r="AA9" s="506" t="str">
        <f>IF(ISNUMBER(IF(J_V="SI",Datos!L9,Datos!L9+Datos!AB9)-IF(Monitorios="SI",Datos!CD9,0)),
                          IF(J_V="SI",Datos!L9,Datos!L9+Datos!AB9)-IF(Monitorios="SI",Datos!CD9,0),
                          " - ")</f>
        <v xml:space="preserve"> - </v>
      </c>
      <c r="AB9" s="504"/>
      <c r="AC9" s="504"/>
      <c r="AD9" s="517"/>
      <c r="AE9" s="517">
        <f>IF(ISNUMBER(Datos!R9),Datos!R9," - ")</f>
        <v>13131</v>
      </c>
      <c r="AF9" s="620" t="str">
        <f>IF(ISNUMBER(Datos!BV9),Datos!BV9," - ")</f>
        <v xml:space="preserve"> - </v>
      </c>
      <c r="AG9" s="507" t="str">
        <f>IF(ISNUMBER(Datos!DV9),Datos!DV9," - ")</f>
        <v xml:space="preserve"> - </v>
      </c>
      <c r="AH9" s="508"/>
      <c r="AI9" s="509"/>
      <c r="AJ9" s="507">
        <f>IF(ISNUMBER(Datos!M9),Datos!M9," - ")</f>
        <v>778</v>
      </c>
      <c r="AK9" s="620">
        <f>IF(ISNUMBER(Datos!N9),Datos!N9," - ")</f>
        <v>2204</v>
      </c>
      <c r="AL9" s="620" t="str">
        <f>IF(ISNUMBER(Datos!BW9),Datos!BW9," - ")</f>
        <v xml:space="preserve"> - </v>
      </c>
      <c r="AM9" s="668" t="str">
        <f>IF(ISNUMBER(Datos!BX9),Datos!BX9," - ")</f>
        <v xml:space="preserve"> - </v>
      </c>
      <c r="AN9" s="669"/>
      <c r="AO9" s="670">
        <f>IF(ISNUMBER(((NºAsuntos!I9/NºAsuntos!G9)*11)/factor_trimestre),((NºAsuntos!I9/NºAsuntos!G9)*11)/factor_trimestre," - ")</f>
        <v>10.154113557358054</v>
      </c>
      <c r="AP9" s="510" t="str">
        <f>IF(ISNUMBER(Datos!CI9/Datos!CJ9),Datos!CI9/Datos!CJ9," - ")</f>
        <v xml:space="preserve"> - </v>
      </c>
      <c r="AQ9" s="510" t="str">
        <f>IF(ISNUMBER((J9-Y9+K9)/(F9)),(J9-Y9+K9)/(F9)," - ")</f>
        <v xml:space="preserve"> - </v>
      </c>
      <c r="AR9" s="510">
        <f>IF(ISNUMBER((Datos!P9-Datos!Q9+Datos!DE9)/(Datos!R9-Datos!P9+Datos!Q9-Datos!DE9)),(Datos!P9-Datos!Q9+Datos!DE9)/(Datos!R9-Datos!P9+Datos!Q9-Datos!DE9)," - ")</f>
        <v>-3.7951498278262143E-2</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1</v>
      </c>
      <c r="F10" s="507">
        <f>IF(ISNUMBER(Datos!L10+Datos!K10-Datos!J10),Datos!L10+Datos!K10-Datos!J10," - ")</f>
        <v>192</v>
      </c>
      <c r="G10" s="507">
        <f>IF(ISNUMBER(Datos!I10),Datos!I10," - ")</f>
        <v>192</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6</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51</v>
      </c>
      <c r="Z10" s="704">
        <f>IF(ISNUMBER(Datos!Q10),Datos!Q10," - ")</f>
        <v>7</v>
      </c>
      <c r="AA10" s="506">
        <f>IF(ISNUMBER(Datos!L10),Datos!L10,"-")</f>
        <v>200</v>
      </c>
      <c r="AB10" s="504"/>
      <c r="AC10" s="504"/>
      <c r="AD10" s="517"/>
      <c r="AE10" s="517">
        <f>IF(ISNUMBER(Datos!R10),Datos!R10," - ")</f>
        <v>152</v>
      </c>
      <c r="AF10" s="620" t="str">
        <f>IF(ISNUMBER(Datos!BV10),Datos!BV10," - ")</f>
        <v xml:space="preserve"> - </v>
      </c>
      <c r="AG10" s="507" t="str">
        <f>IF(ISNUMBER(Datos!DV10),Datos!DV10," - ")</f>
        <v xml:space="preserve"> - </v>
      </c>
      <c r="AH10" s="508"/>
      <c r="AI10" s="509"/>
      <c r="AJ10" s="507">
        <f>IF(ISNUMBER(Datos!M10),Datos!M10," - ")</f>
        <v>22</v>
      </c>
      <c r="AK10" s="620">
        <f>IF(ISNUMBER(Datos!N10),Datos!N10," - ")</f>
        <v>25</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11.76470588235294</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-6.5359477124183009E-3</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0</v>
      </c>
      <c r="B12" s="654" t="s">
        <v>273</v>
      </c>
      <c r="C12" s="655" t="str">
        <f>Datos!A12</f>
        <v xml:space="preserve">Jdos. 1ª Instª. e Instr.                        </v>
      </c>
      <c r="D12" s="549"/>
      <c r="E12" s="1337">
        <f>IF(ISNUMBER(Datos!AQ12),Datos!AQ12," - ")</f>
        <v>0</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t="str">
        <f>IF(ISNUMBER(Datos!Q12),Datos!Q12," - ")</f>
        <v xml:space="preserve"> - </v>
      </c>
      <c r="AA12" s="506" t="str">
        <f>IF(ISNUMBER(IF(J_V="SI",Datos!L12,Datos!L12+Datos!AB12)-IF(Monitorios="SI",Datos!CD12,0)),
                          IF(J_V="SI",Datos!L12,Datos!L12+Datos!AB12)-IF(Monitorios="SI",Datos!CD12,0),
                          " - ")</f>
        <v xml:space="preserve"> - </v>
      </c>
      <c r="AB12" s="504"/>
      <c r="AC12" s="504"/>
      <c r="AD12" s="517"/>
      <c r="AE12" s="517" t="str">
        <f>IF(ISNUMBER(Datos!R12),Datos!R12," - ")</f>
        <v xml:space="preserve"> - </v>
      </c>
      <c r="AF12" s="620" t="str">
        <f>IF(ISNUMBER(Datos!BV12),Datos!BV12," - ")</f>
        <v xml:space="preserve"> - </v>
      </c>
      <c r="AG12" s="507" t="str">
        <f>IF(ISNUMBER(Datos!DV12),Datos!DV12," - ")</f>
        <v xml:space="preserve"> - </v>
      </c>
      <c r="AH12" s="508"/>
      <c r="AI12" s="509"/>
      <c r="AJ12" s="507" t="str">
        <f>IF(ISNUMBER(Datos!M12),Datos!M12," - ")</f>
        <v xml:space="preserve"> - </v>
      </c>
      <c r="AK12" s="620" t="str">
        <f>IF(ISNUMBER(Datos!N12),Datos!N12," - ")</f>
        <v xml:space="preserve"> - </v>
      </c>
      <c r="AL12" s="620" t="str">
        <f>IF(ISNUMBER(Datos!BW12),Datos!BW12," - ")</f>
        <v xml:space="preserve"> - </v>
      </c>
      <c r="AM12" s="668" t="str">
        <f>IF(ISNUMBER(Datos!BX12),Datos!BX12," - ")</f>
        <v xml:space="preserve"> - </v>
      </c>
      <c r="AN12" s="669"/>
      <c r="AO12" s="670" t="str">
        <f>IF(ISNUMBER(((NºAsuntos!I12/NºAsuntos!G12)*11)/factor_trimestre),((NºAsuntos!I12/NºAsuntos!G12)*11)/factor_trimestre," - ")</f>
        <v xml:space="preserve"> - </v>
      </c>
      <c r="AP12" s="510" t="str">
        <f>IF(ISNUMBER(Datos!CI12/Datos!CJ12),Datos!CI12/Datos!CJ12," - ")</f>
        <v xml:space="preserve"> - </v>
      </c>
      <c r="AQ12" s="510" t="str">
        <f>IF(ISNUMBER((J12-Y12+K12)/(F12)),(J12-Y12+K12)/(F12)," - ")</f>
        <v xml:space="preserve"> - </v>
      </c>
      <c r="AR12" s="510" t="str">
        <f>IF(ISNUMBER((Datos!P12-Datos!Q12+Datos!DE12)/(Datos!R12-Datos!P12+Datos!Q12-Datos!DE12)),(Datos!P12-Datos!Q12+Datos!DE12)/(Datos!R12-Datos!P12+Datos!Q12-Datos!DE12)," - ")</f>
        <v xml:space="preserve"> - </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9</v>
      </c>
      <c r="F14" s="1045">
        <f>SUBTOTAL(9,F8:F13)</f>
        <v>192</v>
      </c>
      <c r="G14" s="1045">
        <f>SUBTOTAL(9,G8:G13)</f>
        <v>192</v>
      </c>
      <c r="H14" s="1055"/>
      <c r="I14" s="1045">
        <f t="shared" ref="I14:N14" si="1">SUBTOTAL(9,I8:I13)</f>
        <v>0</v>
      </c>
      <c r="J14" s="1014">
        <f t="shared" si="1"/>
        <v>0</v>
      </c>
      <c r="K14" s="1055">
        <f t="shared" si="1"/>
        <v>0</v>
      </c>
      <c r="L14" s="1055">
        <f t="shared" si="1"/>
        <v>0</v>
      </c>
      <c r="M14" s="1055">
        <f t="shared" si="1"/>
        <v>0</v>
      </c>
      <c r="N14" s="1055">
        <f t="shared" si="1"/>
        <v>897</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51</v>
      </c>
      <c r="Z14" s="1054">
        <f t="shared" si="3"/>
        <v>1416</v>
      </c>
      <c r="AA14" s="1047">
        <f t="shared" si="3"/>
        <v>200</v>
      </c>
      <c r="AB14" s="1047">
        <f t="shared" si="3"/>
        <v>0</v>
      </c>
      <c r="AC14" s="1047">
        <f t="shared" si="3"/>
        <v>0</v>
      </c>
      <c r="AD14" s="1047">
        <f t="shared" si="3"/>
        <v>0</v>
      </c>
      <c r="AE14" s="1047">
        <f t="shared" si="3"/>
        <v>13283</v>
      </c>
      <c r="AF14" s="1055">
        <f t="shared" si="3"/>
        <v>0</v>
      </c>
      <c r="AG14" s="1055">
        <f t="shared" si="3"/>
        <v>0</v>
      </c>
      <c r="AH14" s="1055">
        <f t="shared" si="3"/>
        <v>0</v>
      </c>
      <c r="AI14" s="1055">
        <f t="shared" si="3"/>
        <v>0</v>
      </c>
      <c r="AJ14" s="1055">
        <f t="shared" si="3"/>
        <v>800</v>
      </c>
      <c r="AK14" s="1055">
        <f t="shared" si="3"/>
        <v>2229</v>
      </c>
      <c r="AL14" s="1055">
        <f t="shared" si="3"/>
        <v>0</v>
      </c>
      <c r="AM14" s="1055">
        <f t="shared" si="3"/>
        <v>0</v>
      </c>
      <c r="AN14" s="1055">
        <f t="shared" si="3"/>
        <v>0</v>
      </c>
      <c r="AO14" s="1051">
        <f>IF(ISNUMBER(((NºAsuntos!I14/NºAsuntos!G14)*11)/factor_trimestre),((NºAsuntos!I14/NºAsuntos!G14)*11)/factor_trimestre," - ")</f>
        <v>10.172927164452588</v>
      </c>
      <c r="AP14" s="1057" t="str">
        <f>IF(ISNUMBER(Datos!CI14/Datos!CJ14),Datos!CI14/Datos!CJ14," - ")</f>
        <v xml:space="preserve"> - </v>
      </c>
      <c r="AQ14" s="1075">
        <f t="shared" ref="AQ14:AV14" si="4">SUBTOTAL(9,AQ9:AQ13)</f>
        <v>0</v>
      </c>
      <c r="AR14" s="1075">
        <f t="shared" si="4"/>
        <v>-4.4487445990680441E-2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5</v>
      </c>
      <c r="B16" s="654" t="s">
        <v>437</v>
      </c>
      <c r="C16" s="671" t="str">
        <f>Datos!A16</f>
        <v xml:space="preserve">Jdos. Instrucción                               </v>
      </c>
      <c r="D16" s="544"/>
      <c r="E16" s="1337">
        <f>IF(ISNUMBER(Datos!AQ16),Datos!AQ16," - ")</f>
        <v>5</v>
      </c>
      <c r="F16" s="498">
        <f>IF(ISNUMBER(AA16+Y16-Datos!J16-K16),AA16+Y16-Datos!J16-K16," - ")</f>
        <v>3465</v>
      </c>
      <c r="G16" s="507">
        <f>IF(ISNUMBER(IF(D_I="SI",Datos!I16,Datos!I16+Datos!AC16)),IF(D_I="SI",Datos!I16,Datos!I16+Datos!AC16)," - ")</f>
        <v>3444</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232</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f>IF(ISNUMBER(IF(D_I="SI",Datos!K16,Datos!K16+Datos!AE16)),IF(D_I="SI",Datos!K16,Datos!K16+Datos!AE16)," - ")</f>
        <v>5934</v>
      </c>
      <c r="Z16" s="704">
        <f>IF(ISNUMBER(Datos!Q16),Datos!Q16," - ")</f>
        <v>223</v>
      </c>
      <c r="AA16" s="506">
        <f>IF(ISNUMBER(IF(D_I="SI",Datos!L16,Datos!L16+Datos!AF16)),IF(D_I="SI",Datos!L16,Datos!L16+Datos!AF16)," - ")</f>
        <v>3583</v>
      </c>
      <c r="AB16" s="504"/>
      <c r="AC16" s="504"/>
      <c r="AD16" s="517"/>
      <c r="AE16" s="517">
        <f>IF(ISNUMBER(Datos!R16),Datos!R16," - ")</f>
        <v>455</v>
      </c>
      <c r="AF16" s="620" t="str">
        <f>IF(ISNUMBER(Datos!BV16),Datos!BV16," - ")</f>
        <v xml:space="preserve"> - </v>
      </c>
      <c r="AG16" s="507"/>
      <c r="AH16" s="508"/>
      <c r="AI16" s="509"/>
      <c r="AJ16" s="507">
        <f>IF(ISNUMBER(Datos!M16),Datos!M16," - ")</f>
        <v>405</v>
      </c>
      <c r="AK16" s="620">
        <f>IF(ISNUMBER(Datos!N16),Datos!N16," - ")</f>
        <v>4448</v>
      </c>
      <c r="AL16" s="620" t="str">
        <f>IF(ISNUMBER(Datos!BW16),Datos!BW16," - ")</f>
        <v xml:space="preserve"> - </v>
      </c>
      <c r="AM16" s="668" t="str">
        <f>IF(ISNUMBER(Datos!BX16),Datos!BX16," - ")</f>
        <v xml:space="preserve"> - </v>
      </c>
      <c r="AN16" s="669"/>
      <c r="AO16" s="670">
        <f>IF(ISNUMBER(((NºAsuntos!I16/NºAsuntos!G16)*11)/factor_trimestre),((NºAsuntos!I16/NºAsuntos!G16)*11)/factor_trimestre," - ")</f>
        <v>1.8114256825075834</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0</v>
      </c>
      <c r="B17" s="654" t="s">
        <v>437</v>
      </c>
      <c r="C17" s="671" t="str">
        <f>Datos!A17</f>
        <v xml:space="preserve">Jdos. 1ª Instª. e Instr.                        </v>
      </c>
      <c r="D17" s="544"/>
      <c r="E17" s="1337">
        <f>IF(ISNUMBER(Datos!AQ17),Datos!AQ17," - ")</f>
        <v>0</v>
      </c>
      <c r="F17" s="498" t="str">
        <f>IF(ISNUMBER(AA17+Y17-Datos!J17-K16),AA17+Y17-Datos!J17-K16," - ")</f>
        <v xml:space="preserve"> - </v>
      </c>
      <c r="G17" s="507" t="str">
        <f>IF(ISNUMBER(IF(D_I="SI",Datos!I17,Datos!I17+Datos!AC17)),IF(D_I="SI",Datos!I17,Datos!I17+Datos!AC17)," - ")</f>
        <v xml:space="preserve"> - </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0</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t="str">
        <f>IF(ISNUMBER(IF(D_I="SI",Datos!K17,Datos!K17+Datos!AE17)),IF(D_I="SI",Datos!K17,Datos!K17+Datos!AE17)," - ")</f>
        <v xml:space="preserve"> - </v>
      </c>
      <c r="Z17" s="704" t="str">
        <f>IF(ISNUMBER(Datos!Q17),Datos!Q17," - ")</f>
        <v xml:space="preserve"> - </v>
      </c>
      <c r="AA17" s="506" t="str">
        <f>IF(ISNUMBER(IF(D_I="SI",Datos!L17,Datos!L17+Datos!AF17)),IF(D_I="SI",Datos!L17,Datos!L17+Datos!AF17)," - ")</f>
        <v xml:space="preserve"> - </v>
      </c>
      <c r="AB17" s="504"/>
      <c r="AC17" s="504"/>
      <c r="AD17" s="517"/>
      <c r="AE17" s="517" t="str">
        <f>IF(ISNUMBER(Datos!R17),Datos!R17," - ")</f>
        <v xml:space="preserve"> - </v>
      </c>
      <c r="AF17" s="620" t="str">
        <f>IF(ISNUMBER(Datos!BV17),Datos!BV17," - ")</f>
        <v xml:space="preserve"> - </v>
      </c>
      <c r="AG17" s="507"/>
      <c r="AH17" s="508"/>
      <c r="AI17" s="509"/>
      <c r="AJ17" s="507" t="str">
        <f>IF(ISNUMBER(Datos!M17),Datos!M17," - ")</f>
        <v xml:space="preserve"> - </v>
      </c>
      <c r="AK17" s="620" t="str">
        <f>IF(ISNUMBER(Datos!N17),Datos!N17," - ")</f>
        <v xml:space="preserve"> - </v>
      </c>
      <c r="AL17" s="620" t="str">
        <f>IF(ISNUMBER(Datos!BW17),Datos!BW17," - ")</f>
        <v xml:space="preserve"> - </v>
      </c>
      <c r="AM17" s="668" t="str">
        <f>IF(ISNUMBER(Datos!BX17),Datos!BX17," - ")</f>
        <v xml:space="preserve"> - </v>
      </c>
      <c r="AN17" s="669"/>
      <c r="AO17" s="670" t="str">
        <f>IF(ISNUMBER(((NºAsuntos!I17/NºAsuntos!G17)*11)/factor_trimestre),((NºAsuntos!I17/NºAsuntos!G17)*11)/factor_trimestre," - ")</f>
        <v xml:space="preserve"> - </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1</v>
      </c>
      <c r="F18" s="507" t="str">
        <f>IF(ISNUMBER(AA18+Y18-I18-K18),AA18+Y18-I18-K18," - ")</f>
        <v xml:space="preserve"> - </v>
      </c>
      <c r="G18" s="741">
        <f>IF(ISNUMBER(IF(D_I="SI",Datos!I18,Datos!I18+Datos!AC18)),IF(D_I="SI",Datos!I18,Datos!I18+Datos!AC18)," - ")</f>
        <v>598</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2</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511</v>
      </c>
      <c r="Z18" s="704">
        <f>IF(ISNUMBER(Datos!Q18),Datos!Q18," - ")</f>
        <v>2</v>
      </c>
      <c r="AA18" s="506">
        <f>IF(ISNUMBER(Datos!L18),Datos!L18,"-")</f>
        <v>552</v>
      </c>
      <c r="AB18" s="504"/>
      <c r="AC18" s="504"/>
      <c r="AD18" s="517"/>
      <c r="AE18" s="517">
        <f>IF(ISNUMBER(Datos!R18),Datos!R18," - ")</f>
        <v>0</v>
      </c>
      <c r="AF18" s="620" t="str">
        <f>IF(ISNUMBER(Datos!BV18),Datos!BV18," - ")</f>
        <v xml:space="preserve"> - </v>
      </c>
      <c r="AG18" s="507" t="str">
        <f>IF(ISNUMBER(Datos!DV18),Datos!DV18," - ")</f>
        <v xml:space="preserve"> - </v>
      </c>
      <c r="AH18" s="508"/>
      <c r="AI18" s="509"/>
      <c r="AJ18" s="507">
        <f>IF(ISNUMBER(Datos!M18),Datos!M18," - ")</f>
        <v>7</v>
      </c>
      <c r="AK18" s="620">
        <f>IF(ISNUMBER(Datos!N18),Datos!N18," - ")</f>
        <v>222</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3.2407045009784738</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6</v>
      </c>
      <c r="F20" s="1045">
        <f>SUBTOTAL(9,F16:F19)</f>
        <v>3465</v>
      </c>
      <c r="G20" s="1045">
        <f>SUBTOTAL(9,G16:G19)</f>
        <v>4042</v>
      </c>
      <c r="H20" s="1079">
        <f>SUBTOTAL(9,H16:H19)</f>
        <v>0</v>
      </c>
      <c r="I20" s="1058">
        <f>SUBTOTAL(9,I16:I19)</f>
        <v>0</v>
      </c>
      <c r="J20" s="1014">
        <f>SUBTOTAL(9,J15:J19)</f>
        <v>0</v>
      </c>
      <c r="K20" s="1079">
        <f t="shared" ref="K20:S20" si="5">SUBTOTAL(9,K16:K19)</f>
        <v>0</v>
      </c>
      <c r="L20" s="1079">
        <f t="shared" si="5"/>
        <v>0</v>
      </c>
      <c r="M20" s="1079">
        <f t="shared" si="5"/>
        <v>0</v>
      </c>
      <c r="N20" s="1079">
        <f t="shared" si="5"/>
        <v>234</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6445</v>
      </c>
      <c r="Z20" s="1079">
        <f t="shared" si="6"/>
        <v>225</v>
      </c>
      <c r="AA20" s="1079">
        <f t="shared" si="6"/>
        <v>4135</v>
      </c>
      <c r="AB20" s="1079">
        <f t="shared" si="6"/>
        <v>0</v>
      </c>
      <c r="AC20" s="1079">
        <f t="shared" si="6"/>
        <v>0</v>
      </c>
      <c r="AD20" s="1079">
        <f t="shared" si="6"/>
        <v>0</v>
      </c>
      <c r="AE20" s="1079">
        <f t="shared" si="6"/>
        <v>455</v>
      </c>
      <c r="AF20" s="1079">
        <f t="shared" si="6"/>
        <v>0</v>
      </c>
      <c r="AG20" s="1079">
        <f t="shared" si="6"/>
        <v>0</v>
      </c>
      <c r="AH20" s="1079">
        <f t="shared" si="6"/>
        <v>0</v>
      </c>
      <c r="AI20" s="1079">
        <f t="shared" si="6"/>
        <v>0</v>
      </c>
      <c r="AJ20" s="1079">
        <f t="shared" si="6"/>
        <v>412</v>
      </c>
      <c r="AK20" s="1079">
        <f t="shared" si="6"/>
        <v>4670</v>
      </c>
      <c r="AL20" s="1079">
        <f t="shared" si="6"/>
        <v>0</v>
      </c>
      <c r="AM20" s="1079">
        <f t="shared" si="6"/>
        <v>0</v>
      </c>
      <c r="AN20" s="1079">
        <f t="shared" si="6"/>
        <v>0</v>
      </c>
      <c r="AO20" s="1081">
        <f>IF(ISNUMBER(((NºAsuntos!I20/NºAsuntos!G20)*11)/factor_trimestre),((NºAsuntos!I20/NºAsuntos!G20)*11)/factor_trimestre," - ")</f>
        <v>1.9247478665632274</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15</v>
      </c>
      <c r="F21" s="967">
        <f t="shared" si="8"/>
        <v>3657</v>
      </c>
      <c r="G21" s="967">
        <f t="shared" si="8"/>
        <v>4234</v>
      </c>
      <c r="H21" s="968">
        <f t="shared" si="8"/>
        <v>0</v>
      </c>
      <c r="I21" s="967">
        <f t="shared" si="8"/>
        <v>0</v>
      </c>
      <c r="J21" s="969">
        <f t="shared" si="8"/>
        <v>0</v>
      </c>
      <c r="K21" s="967">
        <f t="shared" si="8"/>
        <v>0</v>
      </c>
      <c r="L21" s="970">
        <f t="shared" si="8"/>
        <v>0</v>
      </c>
      <c r="M21" s="967">
        <f t="shared" si="8"/>
        <v>0</v>
      </c>
      <c r="N21" s="968">
        <f t="shared" si="8"/>
        <v>1131</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6496</v>
      </c>
      <c r="Z21" s="974">
        <f t="shared" si="9"/>
        <v>1641</v>
      </c>
      <c r="AA21" s="975">
        <f t="shared" si="9"/>
        <v>4335</v>
      </c>
      <c r="AB21" s="975">
        <f t="shared" si="9"/>
        <v>0</v>
      </c>
      <c r="AC21" s="975">
        <f t="shared" si="9"/>
        <v>0</v>
      </c>
      <c r="AD21" s="976">
        <f t="shared" si="9"/>
        <v>0</v>
      </c>
      <c r="AE21" s="976">
        <f t="shared" si="9"/>
        <v>13738</v>
      </c>
      <c r="AF21" s="977">
        <f t="shared" si="9"/>
        <v>0</v>
      </c>
      <c r="AG21" s="978">
        <f t="shared" si="9"/>
        <v>0</v>
      </c>
      <c r="AH21" s="979">
        <f t="shared" si="9"/>
        <v>0</v>
      </c>
      <c r="AI21" s="977">
        <f t="shared" si="9"/>
        <v>0</v>
      </c>
      <c r="AJ21" s="967">
        <f t="shared" si="9"/>
        <v>1212</v>
      </c>
      <c r="AK21" s="967">
        <f t="shared" si="9"/>
        <v>6899</v>
      </c>
      <c r="AL21" s="967">
        <f t="shared" si="9"/>
        <v>0</v>
      </c>
      <c r="AM21" s="980">
        <f t="shared" si="9"/>
        <v>0</v>
      </c>
      <c r="AN21" s="970">
        <f>IF(ISNUMBER(Datos!K21/Datos!J21),Datos!K21/Datos!J21," - ")</f>
        <v>0.99195989405978058</v>
      </c>
      <c r="AO21" s="970">
        <f>IF(ISNUMBER(FIND("06",Criterios!A8,1)),(IF(ISNUMBER(((Datos!R21/Datos!Q21)*11)/factor_trimestre),((Datos!R21/Datos!Q21)*11)/factor_trimestre," - ")),(IF(ISNUMBER(((Datos!L21/Datos!K21)*11)/factor_trimestre),((Datos!L21/Datos!K21)*11)/factor_trimestre," - ")))</f>
        <v>5.3097167922189374</v>
      </c>
      <c r="AP21" s="981" t="str">
        <f>IF(ISNUMBER(Datos!CI21/Datos!CJ21),Datos!CI21/Datos!CJ21," - ")</f>
        <v xml:space="preserve"> - </v>
      </c>
      <c r="AQ21" s="981">
        <f>IF(OR(ISNUMBER(FIND("01",Criterios!A8,1)),ISNUMBER(FIND("02",Criterios!A8,1)),ISNUMBER(FIND("03",Criterios!A8,1)),ISNUMBER(FIND("04",Criterios!A8,1))),(J21-Y21+K21)/(F21-K21),(I21-Y21+K21)/(F21-K21))</f>
        <v>-1.7763193874760732</v>
      </c>
      <c r="AR21" s="981">
        <f>IF(ISNUMBER((Datos!P21-Datos!Q21+O21)/(Datos!R21-Datos!P21+Datos!Q21-O21)),(Datos!P21-Datos!Q21+O21)/(Datos!R21-Datos!P21+Datos!Q21-O21)," - ")</f>
        <v>-3.5794497473329592E-2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1693.6</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1889.6674310576452</v>
      </c>
      <c r="G23" s="601">
        <f>IF(ISNUMBER(STDEV(G8:G20)),STDEV(G8:G20),"-")</f>
        <v>1890.0282537570702</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346.49386718959397</v>
      </c>
      <c r="AK23" s="257"/>
      <c r="AL23" s="257">
        <f>IF(ISNUMBER(STDEV(AL8:AL20)),STDEV(AL8:AL20),"-")</f>
        <v>0</v>
      </c>
      <c r="AM23" s="259">
        <f>IF(ISNUMBER(STDEV(AM8:AM20)),STDEV(AM8:AM20),"-")</f>
        <v>0</v>
      </c>
      <c r="AN23" s="587">
        <f>IF(ISNUMBER(STDEV(AN8:AN20)),STDEV(AN8:AN20),"-")</f>
        <v>0</v>
      </c>
      <c r="AO23" s="588">
        <f>IF(ISNUMBER(STDEV(AO8:AO20)),STDEV(AO8:AO20),"-")</f>
        <v>4.649687115230547</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3lyLymMqJd2lNBfGwdCZQK7qX3wyDs0mQo7/AjShvPKXNiYdbhMp55aCwV9YycVA183AaOQUwah+nEdmLG2TcA==" saltValue="ZNHTSoMSXkiThbxCtcFo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moiOEBXgTUm+UyjaRKZ7G6ZDCWDF20LmTr8ICZ4qZgBXZom0D4NuRwT/S5vSbsUO5vGNTDnVywDmNwBC0nGx0Q==" saltValue="LsLb+QQLb2xF8K0cxGpg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z7LG8Ts0S54Jxp9Ed8y1a+NZ1Dr8nhhdUaFRyaeKp3b46M5ePXgfLR4dHR+2iRCi2MjmezfFetXTTd4ouqD8dw==" saltValue="44DtV1SwYg9H82WIKv5rf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L'HOSPITALET DE LLOBREGAT</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0.18323408153916629</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0.12956606160083325</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o2oPXD20GqQfYAxmAMD0LMzx2NEt/X7rC42b8KR7rfgrk4lN7apX16CQ0mavPWrL9ItJxdXCHDt8BxMOAOyWYw==" saltValue="pAF/31CvKE0quo8PeisR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zXi8U+k/LbZFPSFZ4jHKs2wBu8v1uJz9CvmyvX6Bz6tjvpTtv1vehkbKl9k8F/Kmfe0uJZeTyBDhDh+nGl3czA==" saltValue="wNEW1OY8f4dfxges+zf8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L'HOSPITALET DE LLOBREGAT</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8</v>
      </c>
      <c r="B9" s="653" t="s">
        <v>273</v>
      </c>
      <c r="C9" s="671" t="str">
        <f>Datos!A9</f>
        <v xml:space="preserve">Jdos. 1ª Instancia   </v>
      </c>
      <c r="D9" s="544"/>
      <c r="E9" s="801">
        <f>IF(ISNUMBER(Datos!AQ9),Datos!AQ9," - ")</f>
        <v>8</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1</v>
      </c>
      <c r="F10" s="802">
        <f>IF(ISNUMBER(Datos!L10+Datos!K10-Datos!J10),Datos!L10+Datos!K10-Datos!J10," - ")</f>
        <v>192</v>
      </c>
      <c r="G10" s="803">
        <f>IF(ISNUMBER(Datos!I10),Datos!I10," - ")</f>
        <v>192</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6</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51</v>
      </c>
      <c r="AC10" s="802" t="str">
        <f>IF(ISNUMBER(IF(D_I="SI",DatosP!K18,DatosP!K18+DatosP!AE18)),IF(D_I="SI",DatosP!K18,DatosP!K18+DatosP!AE18)," - ")</f>
        <v xml:space="preserve"> - </v>
      </c>
      <c r="AD10" s="804"/>
      <c r="AE10" s="804"/>
      <c r="AF10" s="807">
        <f>IF(ISNUMBER(Datos!L10),Datos!L10,"-")</f>
        <v>200</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22</v>
      </c>
      <c r="AM10" s="811">
        <f>IF(ISNUMBER(Datos!N10+DatosP!N18),Datos!N10+DatosP!N18," - ")</f>
        <v>25</v>
      </c>
      <c r="AN10" s="811">
        <f>IF(ISNUMBER(Datos!BW10+DatosP!BW18),Datos!BW10+DatosP!BW18," - ")</f>
        <v>0</v>
      </c>
      <c r="AO10" s="812">
        <f>IF(ISNUMBER(Datos!BX10+DatosP!BX18),Datos!BX10+DatosP!BX18," - ")</f>
        <v>0</v>
      </c>
      <c r="AP10" s="814">
        <f>IF(ISNUMBER(((Datos!L10/Datos!K10)*11)/factor_trimestre),((Datos!L10/Datos!K10)*11)/factor_trimestre," - ")</f>
        <v>11.76470588235294</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0</v>
      </c>
      <c r="B12" s="654" t="s">
        <v>273</v>
      </c>
      <c r="C12" s="655" t="str">
        <f>Datos!A12</f>
        <v xml:space="preserve">Jdos. 1ª Instª. e Instr.                        </v>
      </c>
      <c r="D12" s="549"/>
      <c r="E12" s="801">
        <f>IF(ISNUMBER(Datos!AQ12),Datos!AQ12," - ")</f>
        <v>0</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0</v>
      </c>
      <c r="O12" s="804">
        <f>IF(ISNUMBER(DatosP!P17),DatosP!P17,0)</f>
        <v>0</v>
      </c>
      <c r="P12" s="804" t="str">
        <f>IF(ISNUMBER(DatosP!DE17),DatosP!DE17," - ")</f>
        <v xml:space="preserve"> - </v>
      </c>
      <c r="Q12" s="805"/>
      <c r="R12" s="805"/>
      <c r="S12" s="804" t="str">
        <f>IF(ISNUMBER(Datos!AS12*(2500/380)+DatosP!AS17),Datos!AS12*(2500/380)+DatosP!AS17," - ")</f>
        <v xml:space="preserve"> - </v>
      </c>
      <c r="T12" s="804" t="str">
        <f>IF(ISNUMBER(DatosP!AS17/E12),DatosP!AS17/E12," - ")</f>
        <v xml:space="preserve"> - </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t="str">
        <f>IF(ISNUMBER(Datos!Q12),Datos!Q12," - ")</f>
        <v xml:space="preserve"> - </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t="str">
        <f>IF(ISNUMBER(Datos!R12),Datos!R12," - ")</f>
        <v xml:space="preserve"> - </v>
      </c>
      <c r="AI12" s="808" t="str">
        <f>IF(ISNUMBER(DatosP!R17),DatosP!R17," - ")</f>
        <v xml:space="preserve"> - </v>
      </c>
      <c r="AJ12" s="801">
        <f>IF(ISNUMBER(Datos!BV12+DatosP!BV17),Datos!BV12+DatosP!BV17," - ")</f>
        <v>0</v>
      </c>
      <c r="AK12" s="809" t="str">
        <f>IF(ISNUMBER(Datos!DV12),Datos!DV12," - ")</f>
        <v xml:space="preserve"> - </v>
      </c>
      <c r="AL12" s="802" t="str">
        <f>IF(ISNUMBER(Datos!M12+DatosP!M17),Datos!M12+DatosP!M17," - ")</f>
        <v xml:space="preserve"> - </v>
      </c>
      <c r="AM12" s="811" t="str">
        <f>IF(ISNUMBER(Datos!N12+DatosP!N17),Datos!N12+DatosP!N17," - ")</f>
        <v xml:space="preserve"> - </v>
      </c>
      <c r="AN12" s="811">
        <f>IF(ISNUMBER(Datos!BW12+DatosP!BW17),Datos!BW12+DatosP!BW17," - ")</f>
        <v>0</v>
      </c>
      <c r="AO12" s="812">
        <f>IF(ISNUMBER(Datos!BX12+DatosP!BX17),Datos!BX12+DatosP!BX17," - ")</f>
        <v>0</v>
      </c>
      <c r="AP12" s="814" t="str">
        <f>IF(ISNUMBER(((IF(J_V="SI",Datos!L12/Datos!K12,(Datos!L12+Datos!AB12)/(Datos!K12+Datos!AA12)))*11)/factor_trimestre),((IF(J_V="SI",Datos!L12/Datos!K12,(Datos!L12+Datos!AB12)/(Datos!K12+Datos!AA12)))*11)/factor_trimestre," - ")</f>
        <v xml:space="preserve"> - </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t="str">
        <f>IF(ISNUMBER((Datos!P12-Datos!Q12+Datos!DE12)/(Datos!R12-Datos!P12+Datos!Q12-Datos!DE12)),(Datos!P12-Datos!Q12+Datos!DE12)/(Datos!R12-Datos!P12+Datos!Q12-Datos!DE12)," - ")</f>
        <v xml:space="preserve"> - </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9</v>
      </c>
      <c r="F14" s="1085">
        <f t="shared" si="0"/>
        <v>192</v>
      </c>
      <c r="G14" s="1085">
        <f t="shared" si="0"/>
        <v>192</v>
      </c>
      <c r="H14" s="1085">
        <f t="shared" si="0"/>
        <v>0</v>
      </c>
      <c r="I14" s="1087">
        <f t="shared" si="0"/>
        <v>0</v>
      </c>
      <c r="J14" s="1086">
        <f t="shared" si="0"/>
        <v>0</v>
      </c>
      <c r="K14" s="1086">
        <f t="shared" si="0"/>
        <v>0</v>
      </c>
      <c r="L14" s="1088">
        <f t="shared" si="0"/>
        <v>0</v>
      </c>
      <c r="M14" s="1088">
        <f t="shared" si="0"/>
        <v>0</v>
      </c>
      <c r="N14" s="1086">
        <f t="shared" si="0"/>
        <v>6</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51</v>
      </c>
      <c r="AC14" s="1086">
        <f t="shared" si="1"/>
        <v>0</v>
      </c>
      <c r="AD14" s="1086">
        <f t="shared" si="1"/>
        <v>0</v>
      </c>
      <c r="AE14" s="1086">
        <f t="shared" si="1"/>
        <v>0</v>
      </c>
      <c r="AF14" s="1086">
        <f t="shared" si="1"/>
        <v>200</v>
      </c>
      <c r="AG14" s="1086">
        <f t="shared" si="1"/>
        <v>0</v>
      </c>
      <c r="AH14" s="1086">
        <f t="shared" si="1"/>
        <v>0</v>
      </c>
      <c r="AI14" s="1086">
        <f t="shared" si="1"/>
        <v>0</v>
      </c>
      <c r="AJ14" s="1086">
        <f t="shared" si="1"/>
        <v>0</v>
      </c>
      <c r="AK14" s="1086">
        <f t="shared" si="1"/>
        <v>0</v>
      </c>
      <c r="AL14" s="1086">
        <f t="shared" si="1"/>
        <v>22</v>
      </c>
      <c r="AM14" s="1086">
        <f t="shared" si="1"/>
        <v>25</v>
      </c>
      <c r="AN14" s="1086">
        <f t="shared" si="1"/>
        <v>0</v>
      </c>
      <c r="AO14" s="1086">
        <f t="shared" si="1"/>
        <v>0</v>
      </c>
      <c r="AP14" s="1091">
        <f>IF(ISNUMBER(((Datos!L14/Datos!K14)*11)/factor_trimestre),((Datos!L14/Datos!K14)*11)/factor_trimestre," - ")</f>
        <v>10.707075705096488</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-0.265625</v>
      </c>
      <c r="AU14" s="1086" t="str">
        <f>IF(ISNUMBER((DatosP!#REF!-DatosP!#REF!+DatosP!#REF!)/(DatosP!#REF!+DatosP!#REF!-DatosP!#REF!-DatosP!#REF!)),(DatosP!#REF!-DatosP!#REF!+DatosP!#REF!)/(DatosP!#REF!+DatosP!#REF!-DatosP!#REF!-DatosP!#REF!)," - ")</f>
        <v xml:space="preserve"> - </v>
      </c>
      <c r="AV14" s="1092">
        <f>SUBTOTAL(9,AV9:AV13)</f>
        <v>0</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5</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0</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1.9247478665632274</v>
      </c>
      <c r="AQ20" s="1091">
        <f>IF(ISNUMBER(((Datos!M20/Datos!L20)*11)/factor_trimestre),((Datos!M20/Datos!L20)*11)/factor_trimestre," - ")</f>
        <v>0.29891172914147518</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2.0179372197309416E-2</v>
      </c>
      <c r="AW20" s="1093">
        <f>IF(ISNUMBER((Datos!Q20-Datos!R20)/(Datos!S20-Datos!Q20+Datos!R20)),(Datos!Q20-Datos!R20)/(Datos!S20-Datos!Q20+Datos!R20)," - ")</f>
        <v>-6.4281721632196753E-2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9</v>
      </c>
      <c r="F21" s="1098">
        <f t="shared" si="4"/>
        <v>192</v>
      </c>
      <c r="G21" s="1098">
        <f t="shared" si="4"/>
        <v>192</v>
      </c>
      <c r="H21" s="1098">
        <f t="shared" si="4"/>
        <v>0</v>
      </c>
      <c r="I21" s="1099">
        <f t="shared" si="4"/>
        <v>0</v>
      </c>
      <c r="J21" s="1100">
        <f t="shared" si="4"/>
        <v>0</v>
      </c>
      <c r="K21" s="1100">
        <f t="shared" si="4"/>
        <v>0</v>
      </c>
      <c r="L21" s="1100">
        <f t="shared" si="4"/>
        <v>0</v>
      </c>
      <c r="M21" s="1100">
        <f t="shared" si="4"/>
        <v>0</v>
      </c>
      <c r="N21" s="1099">
        <f t="shared" si="4"/>
        <v>6</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51</v>
      </c>
      <c r="AC21" s="1104">
        <f t="shared" si="5"/>
        <v>0</v>
      </c>
      <c r="AD21" s="1104">
        <f t="shared" si="5"/>
        <v>0</v>
      </c>
      <c r="AE21" s="1104">
        <f t="shared" si="5"/>
        <v>0</v>
      </c>
      <c r="AF21" s="1105">
        <f t="shared" si="5"/>
        <v>200</v>
      </c>
      <c r="AG21" s="1105">
        <f t="shared" si="5"/>
        <v>0</v>
      </c>
      <c r="AH21" s="1105">
        <f t="shared" si="5"/>
        <v>0</v>
      </c>
      <c r="AI21" s="1105">
        <f t="shared" si="5"/>
        <v>0</v>
      </c>
      <c r="AJ21" s="1106">
        <f t="shared" si="5"/>
        <v>0</v>
      </c>
      <c r="AK21" s="1106">
        <f t="shared" si="5"/>
        <v>0</v>
      </c>
      <c r="AL21" s="1098">
        <f t="shared" si="5"/>
        <v>22</v>
      </c>
      <c r="AM21" s="1098">
        <f t="shared" si="5"/>
        <v>25</v>
      </c>
      <c r="AN21" s="1098">
        <f t="shared" si="5"/>
        <v>0</v>
      </c>
      <c r="AO21" s="1098">
        <f t="shared" si="5"/>
        <v>0</v>
      </c>
      <c r="AP21" s="1098">
        <f>IF(ISNUMBER(((Datos!L21/Datos!K21)*11)/factor_trimestre),((Datos!L21/Datos!K21)*11)/factor_trimestre," - ")</f>
        <v>5.3097167922189374</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-0.265625</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-3.5794497473329592E-2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128</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4.07664661444276</v>
      </c>
      <c r="F23" s="870">
        <f>IF(ISNUMBER(STDEV(F8:F20)),STDEV(F8:F20),"-")</f>
        <v>110.85125168440814</v>
      </c>
      <c r="G23" s="871">
        <f>IF(ISNUMBER(STDEV(G8:G20)),STDEV(G8:G20),"-")</f>
        <v>110.85125168440814</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29.444863728670914</v>
      </c>
      <c r="AC23" s="872">
        <f>IF(ISNUMBER(STDEV(AC8:AC20)),STDEV(AC8:AC20),"-")</f>
        <v>0</v>
      </c>
      <c r="AD23" s="875"/>
      <c r="AE23" s="875"/>
      <c r="AF23" s="875"/>
      <c r="AG23" s="875"/>
      <c r="AH23" s="875"/>
      <c r="AI23" s="875"/>
      <c r="AJ23" s="876">
        <f>IF(ISNUMBER(STDEV(AJ8:AJ20)),STDEV(AJ8:AJ20),"-")</f>
        <v>0</v>
      </c>
      <c r="AK23" s="878"/>
      <c r="AL23" s="870">
        <f>IF(ISNUMBER(STDEV(AL8:AL20)),STDEV(AL8:AL20),"-")</f>
        <v>12.701705922171765</v>
      </c>
      <c r="AM23" s="870"/>
      <c r="AN23" s="870">
        <f>IF(ISNUMBER(STDEV(AN8:AN20)),STDEV(AN8:AN20),"-")</f>
        <v>0</v>
      </c>
      <c r="AO23" s="876">
        <f>IF(ISNUMBER(STDEV(AO8:AO20)),STDEV(AO8:AO20),"-")</f>
        <v>0</v>
      </c>
      <c r="AP23" s="923">
        <f>IF(ISNUMBER(STDEV(AP8:AP20)),STDEV(AP8:AP20),"-")</f>
        <v>5.4017379550138607</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1S1TGrjqxK+JVDAi0JSmAoSaI+tgCjpBwd0YRjoOrvaduCErSm2Y3NDzbQej/BGsNgcEcYvkpVRhZfjZFNnpoA==" saltValue="JUUP2Aus1RIgXaVQ7pDUQ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